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fp\Finance\Adish Refinery\Adish Group\Japalaghi\ADISH\01-Treasury\01-Accounts Balance 1401\Adish-new\"/>
    </mc:Choice>
  </mc:AlternateContent>
  <xr:revisionPtr revIDLastSave="0" documentId="13_ncr:1_{33444461-0B65-42BC-A35E-D9DBCA41F595}" xr6:coauthVersionLast="47" xr6:coauthVersionMax="47" xr10:uidLastSave="{00000000-0000-0000-0000-000000000000}"/>
  <bookViews>
    <workbookView xWindow="-120" yWindow="-120" windowWidth="29040" windowHeight="15840" activeTab="1" xr2:uid="{00000000-000D-0000-FFFF-FFFF00000000}"/>
  </bookViews>
  <sheets>
    <sheet name="1399" sheetId="1" r:id="rId1"/>
    <sheet name="1400" sheetId="41" r:id="rId2"/>
    <sheet name="1401" sheetId="42" r:id="rId3"/>
    <sheet name="1" sheetId="7" r:id="rId4"/>
    <sheet name="2" sheetId="28" r:id="rId5"/>
    <sheet name="3" sheetId="29" r:id="rId6"/>
    <sheet name="4" sheetId="30" r:id="rId7"/>
    <sheet name="5" sheetId="31" r:id="rId8"/>
    <sheet name="6" sheetId="32" r:id="rId9"/>
    <sheet name="7" sheetId="33" r:id="rId10"/>
    <sheet name="8" sheetId="34" r:id="rId11"/>
    <sheet name="9" sheetId="35" r:id="rId12"/>
    <sheet name="10" sheetId="36" r:id="rId13"/>
    <sheet name="11" sheetId="37" r:id="rId14"/>
    <sheet name="12" sheetId="38" r:id="rId15"/>
    <sheet name="13" sheetId="39" r:id="rId16"/>
  </sheets>
  <externalReferences>
    <externalReference r:id="rId17"/>
    <externalReference r:id="rId18"/>
  </externalReferences>
  <definedNames>
    <definedName name="_xlnm.Print_Area" localSheetId="3">'1'!$A$1:$G$19</definedName>
    <definedName name="_xlnm.Print_Area" localSheetId="12">'10'!$A$1:$G$19</definedName>
    <definedName name="_xlnm.Print_Area" localSheetId="13">'11'!$A$1:$G$19</definedName>
    <definedName name="_xlnm.Print_Area" localSheetId="14">'12'!$A$1:$G$19</definedName>
    <definedName name="_xlnm.Print_Area" localSheetId="15">'13'!$A$1:$G$19</definedName>
    <definedName name="_xlnm.Print_Area" localSheetId="0">'1399'!$A$1:$H$158</definedName>
    <definedName name="_xlnm.Print_Area" localSheetId="1">'1400'!$A$1:$I$306</definedName>
    <definedName name="_xlnm.Print_Area" localSheetId="2">'1401'!$A$1:$I$105</definedName>
    <definedName name="_xlnm.Print_Area" localSheetId="4">'2'!$A$1:$G$19</definedName>
    <definedName name="_xlnm.Print_Area" localSheetId="5">'3'!$A$1:$G$19</definedName>
    <definedName name="_xlnm.Print_Area" localSheetId="6">'4'!$A$1:$G$19</definedName>
    <definedName name="_xlnm.Print_Area" localSheetId="7">'5'!$A$1:$G$19</definedName>
    <definedName name="_xlnm.Print_Area" localSheetId="8">'6'!$A$1:$G$19</definedName>
    <definedName name="_xlnm.Print_Area" localSheetId="9">'7'!$A$1:$G$19</definedName>
    <definedName name="_xlnm.Print_Area" localSheetId="10">'8'!$A$1:$G$19</definedName>
    <definedName name="_xlnm.Print_Area" localSheetId="11">'9'!$A$1:$G$19</definedName>
    <definedName name="_xlnm.Print_Titles" localSheetId="0">'1399'!$1:$2</definedName>
    <definedName name="_xlnm.Print_Titles" localSheetId="1">'1400'!$1:$2</definedName>
    <definedName name="_xlnm.Print_Titles" localSheetId="2">'1401'!$1:$2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4" i="7" l="1"/>
  <c r="D13" i="7"/>
  <c r="B13" i="7"/>
  <c r="E11" i="7"/>
  <c r="B10" i="7"/>
  <c r="B9" i="7"/>
  <c r="H188" i="41" l="1"/>
  <c r="H184" i="41"/>
  <c r="I19" i="41"/>
  <c r="G6" i="1"/>
  <c r="H235" i="41"/>
  <c r="B11" i="32"/>
  <c r="G105" i="42" l="1"/>
  <c r="I4" i="42"/>
  <c r="I5" i="42" s="1"/>
  <c r="I6" i="42" s="1"/>
  <c r="I7" i="42" s="1"/>
  <c r="I8" i="42" s="1"/>
  <c r="I9" i="42" s="1"/>
  <c r="I10" i="42" s="1"/>
  <c r="I11" i="42" s="1"/>
  <c r="I12" i="42" s="1"/>
  <c r="I13" i="42" s="1"/>
  <c r="I14" i="42" s="1"/>
  <c r="I15" i="42" s="1"/>
  <c r="I16" i="42" s="1"/>
  <c r="I17" i="42" s="1"/>
  <c r="I18" i="42" s="1"/>
  <c r="I19" i="42" s="1"/>
  <c r="E9" i="7"/>
  <c r="H105" i="42" l="1"/>
  <c r="I105" i="42" s="1"/>
  <c r="H271" i="41"/>
  <c r="D13" i="29" l="1"/>
  <c r="D13" i="31"/>
  <c r="B10" i="28"/>
  <c r="H264" i="41"/>
  <c r="B9" i="28"/>
  <c r="F11" i="28"/>
  <c r="B13" i="28"/>
  <c r="D13" i="28"/>
  <c r="F4" i="28"/>
  <c r="H261" i="41"/>
  <c r="H260" i="41"/>
  <c r="H239" i="41" l="1"/>
  <c r="H238" i="41"/>
  <c r="H229" i="41" l="1"/>
  <c r="H226" i="41"/>
  <c r="H208" i="41" l="1"/>
  <c r="H197" i="41" l="1"/>
  <c r="H195" i="41"/>
  <c r="H182" i="41" l="1"/>
  <c r="H169" i="41"/>
  <c r="H168" i="41"/>
  <c r="H155" i="41" l="1"/>
  <c r="H154" i="41" l="1"/>
  <c r="H153" i="41"/>
  <c r="H145" i="41"/>
  <c r="H132" i="41" l="1"/>
  <c r="B10" i="29" l="1"/>
  <c r="H131" i="41" l="1"/>
  <c r="H113" i="41" l="1"/>
  <c r="H102" i="41"/>
  <c r="H87" i="41" l="1"/>
  <c r="H84" i="41"/>
  <c r="H83" i="41"/>
  <c r="H80" i="41"/>
  <c r="H59" i="41" l="1"/>
  <c r="H50" i="41" l="1"/>
  <c r="B10" i="32" l="1"/>
  <c r="H30" i="41" l="1"/>
  <c r="H13" i="41"/>
  <c r="H6" i="41" l="1"/>
  <c r="H5" i="41"/>
  <c r="G306" i="41"/>
  <c r="I4" i="41"/>
  <c r="G140" i="1"/>
  <c r="H306" i="41" l="1"/>
  <c r="I306" i="41" s="1"/>
  <c r="I5" i="41"/>
  <c r="B13" i="31"/>
  <c r="B10" i="31"/>
  <c r="B9" i="31"/>
  <c r="F4" i="31"/>
  <c r="E9" i="31"/>
  <c r="I6" i="41" l="1"/>
  <c r="I7" i="41" s="1"/>
  <c r="I8" i="41" s="1"/>
  <c r="I9" i="41" s="1"/>
  <c r="I10" i="41" s="1"/>
  <c r="I11" i="41" s="1"/>
  <c r="I12" i="41" s="1"/>
  <c r="I13" i="41" s="1"/>
  <c r="I14" i="41" s="1"/>
  <c r="I15" i="41" s="1"/>
  <c r="I16" i="41" s="1"/>
  <c r="I17" i="41" s="1"/>
  <c r="I18" i="41" s="1"/>
  <c r="D13" i="30"/>
  <c r="B13" i="30"/>
  <c r="B10" i="30"/>
  <c r="B9" i="30"/>
  <c r="F4" i="30"/>
  <c r="B13" i="29"/>
  <c r="B9" i="29"/>
  <c r="F4" i="29"/>
  <c r="E9" i="29"/>
  <c r="E9" i="30"/>
  <c r="G112" i="1" l="1"/>
  <c r="F158" i="1" l="1"/>
  <c r="B9" i="34" l="1"/>
  <c r="B10" i="34"/>
  <c r="B13" i="34"/>
  <c r="D13" i="34"/>
  <c r="F4" i="34"/>
  <c r="E9" i="34"/>
  <c r="B9" i="33" l="1"/>
  <c r="B10" i="33"/>
  <c r="B13" i="33"/>
  <c r="D13" i="33"/>
  <c r="F4" i="33"/>
  <c r="B9" i="32"/>
  <c r="B13" i="32"/>
  <c r="D13" i="32"/>
  <c r="F4" i="32"/>
  <c r="E9" i="32"/>
  <c r="E9" i="33"/>
  <c r="G68" i="1" l="1"/>
  <c r="B11" i="34" l="1"/>
  <c r="G50" i="1" l="1"/>
  <c r="B11" i="33" l="1"/>
  <c r="B11" i="31" l="1"/>
  <c r="B11" i="30"/>
  <c r="G158" i="1" l="1"/>
  <c r="B11" i="28"/>
  <c r="B13" i="39" l="1"/>
  <c r="B10" i="39"/>
  <c r="B9" i="39"/>
  <c r="D13" i="39"/>
  <c r="B11" i="39"/>
  <c r="F4" i="39"/>
  <c r="E9" i="39"/>
  <c r="B13" i="38" l="1"/>
  <c r="B10" i="38"/>
  <c r="B9" i="38"/>
  <c r="D13" i="38"/>
  <c r="B11" i="38"/>
  <c r="F4" i="38"/>
  <c r="B10" i="37"/>
  <c r="B13" i="37"/>
  <c r="B9" i="37"/>
  <c r="D13" i="37"/>
  <c r="B11" i="37"/>
  <c r="F4" i="37"/>
  <c r="B9" i="36"/>
  <c r="B10" i="36"/>
  <c r="B13" i="36"/>
  <c r="D13" i="36"/>
  <c r="F4" i="36"/>
  <c r="B9" i="35"/>
  <c r="B10" i="35"/>
  <c r="B13" i="35"/>
  <c r="D13" i="35"/>
  <c r="F4" i="35"/>
  <c r="E9" i="38"/>
  <c r="E9" i="36"/>
  <c r="E9" i="35"/>
  <c r="E9" i="37"/>
  <c r="H4" i="1" l="1"/>
  <c r="H5" i="1" s="1"/>
  <c r="H6" i="1" s="1"/>
  <c r="H7" i="1" s="1"/>
  <c r="H8" i="1" s="1"/>
  <c r="H9" i="1" s="1"/>
  <c r="H10" i="1" s="1"/>
  <c r="H11" i="1" s="1"/>
  <c r="H12" i="1" s="1"/>
  <c r="H13" i="1" s="1"/>
  <c r="H14" i="1" s="1"/>
  <c r="H15" i="1" s="1"/>
  <c r="H16" i="1" l="1"/>
  <c r="H17" i="1" s="1"/>
  <c r="H18" i="1" s="1"/>
  <c r="H19" i="1" s="1"/>
  <c r="B11" i="36"/>
  <c r="B11" i="35"/>
  <c r="H158" i="1" l="1"/>
  <c r="H20" i="1" l="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I20" i="42"/>
  <c r="I21" i="42" s="1"/>
  <c r="I22" i="42" s="1"/>
  <c r="I23" i="42" s="1"/>
  <c r="I24" i="42" s="1"/>
  <c r="I25" i="42" s="1"/>
  <c r="I26" i="42" s="1"/>
  <c r="I27" i="42" s="1"/>
  <c r="I28" i="42" s="1"/>
  <c r="I29" i="42" s="1"/>
  <c r="I30" i="42" s="1"/>
  <c r="I31" i="42" s="1"/>
  <c r="I32" i="42" s="1"/>
  <c r="I20" i="41"/>
  <c r="I21" i="41" s="1"/>
  <c r="I22" i="41" s="1"/>
  <c r="I23" i="41" s="1"/>
  <c r="I24" i="41" s="1"/>
  <c r="I25" i="41" s="1"/>
  <c r="I26" i="41" s="1"/>
  <c r="I27" i="41" s="1"/>
  <c r="I28" i="41" s="1"/>
  <c r="I29" i="41" s="1"/>
  <c r="I30" i="41" s="1"/>
  <c r="I31" i="41" s="1"/>
  <c r="I32" i="41" s="1"/>
  <c r="I33" i="41" s="1"/>
  <c r="I34" i="41" s="1"/>
  <c r="I35" i="41" s="1"/>
  <c r="I36" i="41" s="1"/>
  <c r="I37" i="41" s="1"/>
  <c r="I38" i="41" s="1"/>
  <c r="I39" i="41" s="1"/>
  <c r="I40" i="41" s="1"/>
  <c r="I41" i="41" s="1"/>
  <c r="I42" i="41" s="1"/>
  <c r="I43" i="41" s="1"/>
  <c r="I44" i="41" s="1"/>
  <c r="I45" i="41" s="1"/>
  <c r="I46" i="41" s="1"/>
  <c r="I47" i="41" s="1"/>
  <c r="I48" i="41" s="1"/>
  <c r="I49" i="41" s="1"/>
  <c r="I50" i="41" s="1"/>
  <c r="I51" i="41" s="1"/>
  <c r="I52" i="41" s="1"/>
  <c r="I53" i="41" s="1"/>
  <c r="I54" i="41" s="1"/>
  <c r="I55" i="41" s="1"/>
  <c r="I56" i="41" s="1"/>
  <c r="I57" i="41" s="1"/>
  <c r="I58" i="41" s="1"/>
  <c r="I59" i="41" s="1"/>
  <c r="I60" i="41" s="1"/>
  <c r="I61" i="41" s="1"/>
  <c r="I62" i="41" s="1"/>
  <c r="I63" i="41" s="1"/>
  <c r="I64" i="41" s="1"/>
  <c r="I65" i="41" s="1"/>
  <c r="I66" i="41" s="1"/>
  <c r="I67" i="41" s="1"/>
  <c r="I68" i="41" s="1"/>
  <c r="I69" i="41" s="1"/>
  <c r="I70" i="41" s="1"/>
  <c r="I71" i="41" s="1"/>
  <c r="I72" i="41" s="1"/>
  <c r="I73" i="41" s="1"/>
  <c r="I74" i="41" s="1"/>
  <c r="I75" i="41" s="1"/>
  <c r="I76" i="41" s="1"/>
  <c r="I77" i="41" s="1"/>
  <c r="I78" i="41" s="1"/>
  <c r="I79" i="41" s="1"/>
  <c r="I80" i="41" s="1"/>
  <c r="I81" i="41" s="1"/>
  <c r="I82" i="41" s="1"/>
  <c r="I83" i="41" s="1"/>
  <c r="I84" i="41" s="1"/>
  <c r="I85" i="41" s="1"/>
  <c r="I86" i="41" s="1"/>
  <c r="I87" i="41" s="1"/>
  <c r="I88" i="41" s="1"/>
  <c r="I89" i="41" s="1"/>
  <c r="I90" i="41" s="1"/>
  <c r="I91" i="41" s="1"/>
  <c r="I92" i="41" s="1"/>
  <c r="I93" i="41" s="1"/>
  <c r="I94" i="41" s="1"/>
  <c r="I95" i="41" s="1"/>
  <c r="I96" i="41" s="1"/>
  <c r="I97" i="41" s="1"/>
  <c r="I98" i="41" s="1"/>
  <c r="I99" i="41" s="1"/>
  <c r="I100" i="41" s="1"/>
  <c r="I101" i="41" s="1"/>
  <c r="I102" i="41" s="1"/>
  <c r="I103" i="41" s="1"/>
  <c r="I104" i="41" s="1"/>
  <c r="I105" i="41" s="1"/>
  <c r="I106" i="41" s="1"/>
  <c r="I107" i="41" s="1"/>
  <c r="I108" i="41" s="1"/>
  <c r="I109" i="41" s="1"/>
  <c r="I110" i="41" s="1"/>
  <c r="I111" i="41" s="1"/>
  <c r="I112" i="41" s="1"/>
  <c r="I113" i="41" s="1"/>
  <c r="I114" i="41" s="1"/>
  <c r="I115" i="41" s="1"/>
  <c r="I116" i="41" s="1"/>
  <c r="I117" i="41" s="1"/>
  <c r="I118" i="41" s="1"/>
  <c r="I119" i="41" s="1"/>
  <c r="I120" i="41" s="1"/>
  <c r="I121" i="41" s="1"/>
  <c r="I122" i="41" s="1"/>
  <c r="I123" i="41" s="1"/>
  <c r="I124" i="41" s="1"/>
  <c r="I125" i="41" s="1"/>
  <c r="I126" i="41" s="1"/>
  <c r="I127" i="41" s="1"/>
  <c r="I128" i="41" s="1"/>
  <c r="I129" i="41" s="1"/>
  <c r="I130" i="41" s="1"/>
  <c r="I131" i="41" s="1"/>
  <c r="I132" i="41" s="1"/>
  <c r="I133" i="41" s="1"/>
  <c r="I134" i="41" s="1"/>
  <c r="I135" i="41" s="1"/>
  <c r="I136" i="41" s="1"/>
  <c r="I137" i="41" s="1"/>
  <c r="I138" i="41" s="1"/>
  <c r="I139" i="41" s="1"/>
  <c r="I140" i="41" s="1"/>
  <c r="I141" i="41" s="1"/>
  <c r="I142" i="41" s="1"/>
  <c r="I143" i="41" s="1"/>
  <c r="I144" i="41" s="1"/>
  <c r="I145" i="41" s="1"/>
  <c r="I146" i="41" s="1"/>
  <c r="I147" i="41" s="1"/>
  <c r="I148" i="41" s="1"/>
  <c r="I149" i="41" s="1"/>
  <c r="I150" i="41" s="1"/>
  <c r="I151" i="41" s="1"/>
  <c r="I152" i="41" s="1"/>
  <c r="I153" i="41" s="1"/>
  <c r="I154" i="41" s="1"/>
  <c r="I155" i="41" s="1"/>
  <c r="I156" i="41" s="1"/>
  <c r="I157" i="41" s="1"/>
  <c r="I158" i="41" s="1"/>
  <c r="I159" i="41" s="1"/>
  <c r="I160" i="41" s="1"/>
  <c r="I161" i="41" s="1"/>
  <c r="I162" i="41" s="1"/>
  <c r="I163" i="41" s="1"/>
  <c r="I164" i="41" s="1"/>
  <c r="I165" i="41" s="1"/>
  <c r="I166" i="41" s="1"/>
  <c r="I167" i="41" s="1"/>
  <c r="I168" i="41" s="1"/>
  <c r="I169" i="41" s="1"/>
  <c r="I170" i="41" s="1"/>
  <c r="I171" i="41" s="1"/>
  <c r="I172" i="41" s="1"/>
  <c r="I173" i="41" s="1"/>
  <c r="I174" i="41" s="1"/>
  <c r="I175" i="41" s="1"/>
  <c r="I176" i="41" s="1"/>
  <c r="I177" i="41" s="1"/>
  <c r="I178" i="41" s="1"/>
  <c r="I179" i="41" s="1"/>
  <c r="I180" i="41" s="1"/>
  <c r="I181" i="41" s="1"/>
  <c r="I182" i="41" s="1"/>
  <c r="I183" i="41" s="1"/>
  <c r="I184" i="41" s="1"/>
  <c r="I185" i="41" s="1"/>
  <c r="I186" i="41" s="1"/>
  <c r="I187" i="41" s="1"/>
  <c r="I188" i="41" s="1"/>
  <c r="I189" i="41" s="1"/>
  <c r="I190" i="41" s="1"/>
  <c r="I191" i="41" s="1"/>
  <c r="I192" i="41" s="1"/>
  <c r="I193" i="41" s="1"/>
  <c r="I194" i="41" s="1"/>
  <c r="I195" i="41" s="1"/>
  <c r="I196" i="41" s="1"/>
  <c r="I197" i="41" s="1"/>
  <c r="I198" i="41" s="1"/>
  <c r="I199" i="41" s="1"/>
  <c r="I200" i="41" s="1"/>
  <c r="I201" i="41" s="1"/>
  <c r="I202" i="41" s="1"/>
  <c r="I203" i="41" s="1"/>
  <c r="I204" i="41" s="1"/>
  <c r="I205" i="41" s="1"/>
  <c r="I206" i="41" s="1"/>
  <c r="I207" i="41" s="1"/>
  <c r="I208" i="41" s="1"/>
  <c r="I209" i="41" s="1"/>
  <c r="I210" i="41" s="1"/>
  <c r="I211" i="41" s="1"/>
  <c r="I212" i="41" s="1"/>
  <c r="I213" i="41" s="1"/>
  <c r="I214" i="41" s="1"/>
  <c r="I215" i="41" s="1"/>
  <c r="I216" i="41" s="1"/>
  <c r="I217" i="41" s="1"/>
  <c r="I218" i="41" s="1"/>
  <c r="I219" i="41" s="1"/>
  <c r="I220" i="41" s="1"/>
  <c r="I221" i="41" s="1"/>
  <c r="I222" i="41" s="1"/>
  <c r="I223" i="41" s="1"/>
  <c r="I224" i="41" s="1"/>
  <c r="I225" i="41" s="1"/>
  <c r="I226" i="41" s="1"/>
  <c r="I227" i="41" s="1"/>
  <c r="I228" i="41" s="1"/>
  <c r="I229" i="41" s="1"/>
  <c r="I230" i="41" s="1"/>
  <c r="I231" i="41" s="1"/>
  <c r="I232" i="41" s="1"/>
  <c r="I233" i="41" s="1"/>
  <c r="I234" i="41" s="1"/>
  <c r="I235" i="41" s="1"/>
  <c r="I236" i="41" s="1"/>
  <c r="I237" i="41" s="1"/>
  <c r="I238" i="41" s="1"/>
  <c r="I239" i="41" s="1"/>
  <c r="I240" i="41" s="1"/>
  <c r="I241" i="41" s="1"/>
  <c r="I242" i="41" s="1"/>
  <c r="I243" i="41" s="1"/>
  <c r="I244" i="41" s="1"/>
  <c r="I245" i="41" s="1"/>
  <c r="I246" i="41" s="1"/>
  <c r="I247" i="41" s="1"/>
  <c r="I248" i="41" s="1"/>
  <c r="I249" i="41" s="1"/>
  <c r="I250" i="41" s="1"/>
  <c r="I251" i="41" s="1"/>
  <c r="I252" i="41" s="1"/>
  <c r="I253" i="41" s="1"/>
  <c r="I254" i="41" s="1"/>
  <c r="I255" i="41" s="1"/>
  <c r="I256" i="41" s="1"/>
  <c r="I257" i="41" s="1"/>
  <c r="I258" i="41" s="1"/>
  <c r="I259" i="41" s="1"/>
  <c r="I260" i="41" s="1"/>
  <c r="I261" i="41" s="1"/>
  <c r="I262" i="41" s="1"/>
  <c r="I263" i="41" s="1"/>
  <c r="I264" i="41" s="1"/>
  <c r="I265" i="41" s="1"/>
  <c r="I266" i="41" s="1"/>
  <c r="I267" i="41" s="1"/>
  <c r="I268" i="41" s="1"/>
  <c r="I269" i="41" s="1"/>
  <c r="I270" i="41" s="1"/>
  <c r="I271" i="41" s="1"/>
  <c r="I272" i="41" s="1"/>
  <c r="I273" i="41" s="1"/>
  <c r="I274" i="41" s="1"/>
  <c r="I275" i="41" s="1"/>
  <c r="I276" i="41" s="1"/>
  <c r="I277" i="41" s="1"/>
  <c r="I278" i="41" s="1"/>
  <c r="I279" i="41" s="1"/>
  <c r="I280" i="41" s="1"/>
  <c r="I281" i="41" s="1"/>
  <c r="I282" i="41" s="1"/>
  <c r="I283" i="41" s="1"/>
  <c r="I284" i="41" s="1"/>
  <c r="I285" i="41" s="1"/>
  <c r="I286" i="41" s="1"/>
  <c r="I287" i="41" s="1"/>
  <c r="I288" i="41" s="1"/>
  <c r="I289" i="41" s="1"/>
  <c r="I290" i="41" s="1"/>
  <c r="I291" i="41" s="1"/>
  <c r="I292" i="41" s="1"/>
  <c r="I293" i="41" s="1"/>
  <c r="I294" i="41" s="1"/>
  <c r="I295" i="41" s="1"/>
  <c r="I296" i="41" s="1"/>
  <c r="I297" i="41" s="1"/>
  <c r="I298" i="41" s="1"/>
  <c r="I299" i="41" s="1"/>
  <c r="I300" i="41" s="1"/>
  <c r="I301" i="41" s="1"/>
  <c r="I302" i="41" s="1"/>
  <c r="I303" i="41" s="1"/>
  <c r="I304" i="41" s="1"/>
  <c r="I305" i="41" s="1"/>
  <c r="I33" i="42" l="1"/>
  <c r="I34" i="42" s="1"/>
  <c r="I35" i="42" s="1"/>
  <c r="I36" i="42" s="1"/>
  <c r="I37" i="42" s="1"/>
  <c r="I38" i="42" s="1"/>
  <c r="I39" i="42" s="1"/>
  <c r="I40" i="42" s="1"/>
  <c r="I41" i="42" s="1"/>
  <c r="I42" i="42" s="1"/>
  <c r="I43" i="42" s="1"/>
  <c r="I44" i="42" s="1"/>
  <c r="I45" i="42" s="1"/>
  <c r="I46" i="42" s="1"/>
  <c r="I47" i="42" s="1"/>
  <c r="I48" i="42" s="1"/>
  <c r="I49" i="42" s="1"/>
  <c r="I50" i="42" s="1"/>
  <c r="I51" i="42" s="1"/>
  <c r="I52" i="42" s="1"/>
  <c r="I53" i="42" s="1"/>
  <c r="I54" i="42" s="1"/>
  <c r="I55" i="42" s="1"/>
  <c r="I56" i="42" s="1"/>
  <c r="I57" i="42" s="1"/>
  <c r="I58" i="42" s="1"/>
  <c r="I59" i="42" s="1"/>
  <c r="I60" i="42" s="1"/>
  <c r="I61" i="42" s="1"/>
  <c r="I62" i="42" s="1"/>
  <c r="I63" i="42" s="1"/>
  <c r="I64" i="42" s="1"/>
  <c r="I65" i="42" s="1"/>
  <c r="I66" i="42" s="1"/>
  <c r="I67" i="42" s="1"/>
  <c r="I68" i="42" s="1"/>
  <c r="I69" i="42" s="1"/>
  <c r="I70" i="42" s="1"/>
  <c r="I71" i="42" s="1"/>
  <c r="I72" i="42" s="1"/>
  <c r="I73" i="42" s="1"/>
  <c r="I74" i="42" s="1"/>
  <c r="I75" i="42" s="1"/>
  <c r="I76" i="42" s="1"/>
  <c r="I77" i="42" s="1"/>
  <c r="I78" i="42" s="1"/>
  <c r="I79" i="42" s="1"/>
  <c r="I80" i="42" s="1"/>
  <c r="I81" i="42" s="1"/>
  <c r="I82" i="42" s="1"/>
  <c r="I83" i="42" s="1"/>
  <c r="I84" i="42" s="1"/>
  <c r="I85" i="42" s="1"/>
  <c r="I86" i="42" s="1"/>
  <c r="I87" i="42" s="1"/>
  <c r="I88" i="42" s="1"/>
  <c r="I89" i="42" s="1"/>
  <c r="I90" i="42" s="1"/>
  <c r="I91" i="42" s="1"/>
  <c r="I92" i="42" s="1"/>
  <c r="I93" i="42" s="1"/>
  <c r="I94" i="42" s="1"/>
  <c r="I95" i="42" s="1"/>
  <c r="I96" i="42" s="1"/>
  <c r="I97" i="42" s="1"/>
  <c r="I98" i="42" s="1"/>
  <c r="I99" i="42" s="1"/>
  <c r="I100" i="42" s="1"/>
  <c r="I101" i="42" s="1"/>
  <c r="I102" i="42" s="1"/>
  <c r="I103" i="42" s="1"/>
  <c r="I104" i="42" s="1"/>
</calcChain>
</file>

<file path=xl/sharedStrings.xml><?xml version="1.0" encoding="utf-8"?>
<sst xmlns="http://schemas.openxmlformats.org/spreadsheetml/2006/main" count="2145" uniqueCount="1042">
  <si>
    <t>ردیف</t>
  </si>
  <si>
    <t>تاریخ</t>
  </si>
  <si>
    <t>شماره چک</t>
  </si>
  <si>
    <t>مبلغ ورود</t>
  </si>
  <si>
    <t>مبلغ خروج</t>
  </si>
  <si>
    <t>مانده</t>
  </si>
  <si>
    <t>مانده ابتدای دوره</t>
  </si>
  <si>
    <t>شرکت آدیش جنوبی (سهامی خاص)</t>
  </si>
  <si>
    <t>دستور پرداخت</t>
  </si>
  <si>
    <t>تاریخ اعلامیه:</t>
  </si>
  <si>
    <t>شماره اعلامیه:</t>
  </si>
  <si>
    <t>ریال</t>
  </si>
  <si>
    <t>بابت:</t>
  </si>
  <si>
    <t>در وجه:</t>
  </si>
  <si>
    <t>پرداخت گردید.</t>
  </si>
  <si>
    <t>شماره چک:</t>
  </si>
  <si>
    <t>تاریخ چک:</t>
  </si>
  <si>
    <t>شماره حساب بانکی:</t>
  </si>
  <si>
    <t>در وجه</t>
  </si>
  <si>
    <t>بابت</t>
  </si>
  <si>
    <t>تهیه کننده:</t>
  </si>
  <si>
    <t>تایید کننده:</t>
  </si>
  <si>
    <t>تصویب کننده:</t>
  </si>
  <si>
    <t>بدینوسیله وصول چک فوق تایید می گردد:</t>
  </si>
  <si>
    <t>نام و نام خانوادگی:</t>
  </si>
  <si>
    <t>مهر و امضا:</t>
  </si>
  <si>
    <t>بانک ملت</t>
  </si>
  <si>
    <t>96/01/01</t>
  </si>
  <si>
    <t>بانک ملت- حساب شماره 8375650927</t>
  </si>
  <si>
    <t>مبلغ به ریال :</t>
  </si>
  <si>
    <t xml:space="preserve">: مبلغ به حروف </t>
  </si>
  <si>
    <t>وضعیت اعلامیه:</t>
  </si>
  <si>
    <t>شرکت پالایش میعانات گازی آدیش جنوبی</t>
  </si>
  <si>
    <t>265428</t>
  </si>
  <si>
    <t>265429</t>
  </si>
  <si>
    <t>265430</t>
  </si>
  <si>
    <t>1399/01/24</t>
  </si>
  <si>
    <t>حواله ساتنا به حساب IR18 0190 0000 0010 3467 3920 09 نزد بانک صادرات به نام آقای علی زاهدیان بابت پرداخت هزینه اجاره خوابگاه اسفند ماه 1398</t>
  </si>
  <si>
    <t>1399/01/25</t>
  </si>
  <si>
    <t>خودتان بابت تسویه حقوق و دستمزد اسفند ماه 1398 2 نفر پرسنل گمرک</t>
  </si>
  <si>
    <t>265431</t>
  </si>
  <si>
    <t>1399/01/26</t>
  </si>
  <si>
    <t>واریز  به حساب متمرکز اداره کل امور مالی کد 8150  جهت پرداخت حق بیمه اسفند ماه 1398 کارکنان  به نام سازمان تامین اجتماعی شعبه بیست و پنج تهران (قبض025099011402701)</t>
  </si>
  <si>
    <t>واریز  به حساب متمرکز اداره کل امور مالی کد 8150  جهت پرداخت حق بیمه اسفند ماه 1398 کارکنان به نام سازمان تامین اجتماعی شعبه کنگان (قبض511099010112701)</t>
  </si>
  <si>
    <t>واریزی از بانک اقتصادنوین بابت تامین موجودی</t>
  </si>
  <si>
    <t>265432</t>
  </si>
  <si>
    <t>265433</t>
  </si>
  <si>
    <t>1398/01/27</t>
  </si>
  <si>
    <t>واریز به شماره حساب  2110101614003  نزد بانک ملی شعبه میرداماد کد 64 به نام اداره کل امور مالیاتی جهت پرداخت مالیات حقوق اسفند ماه 1398، واحد 881521(قبض462459394)</t>
  </si>
  <si>
    <t>واریز به شماره حساب  2110101614003  نزد بانک ملی شعبه میرداماد کد 64 به نام اداره کل امور مالیاتی جهت پرداخت مالیات عیدی 1398، واحد 881521(قبض462360028)</t>
  </si>
  <si>
    <t>265434</t>
  </si>
  <si>
    <t>1399/02/21</t>
  </si>
  <si>
    <t>حواله ساتنا به حساب IR18 0190 0000 0010 3467 3920 09 نزد بانک صادرات به نام آقای علی زاهدیان بابت پرداخت هزینه اجاره خوابگاه فروردین ماه 1399</t>
  </si>
  <si>
    <t>265435</t>
  </si>
  <si>
    <t>265436</t>
  </si>
  <si>
    <t>265437</t>
  </si>
  <si>
    <t>265438</t>
  </si>
  <si>
    <t>1399/02/27</t>
  </si>
  <si>
    <t>واریز  به حساب متمرکز اداره کل امور مالی کد 8150  جهت پرداخت حق بیمه فروردین ماه 1399 کارکنان  به نام سازمان تامین اجتماعی شعبه بیست و پنج تهران (قبض025099022776101)</t>
  </si>
  <si>
    <t>واریز  به حساب متمرکز اداره کل امور مالی کد 8150  جهت پرداخت حق بیمه فروردین ماه 1399 کارکنان به نام سازمان تامین اجتماعی شعبه کنگان (قبض511099020312701)</t>
  </si>
  <si>
    <t>واریز به شماره حساب  2110101614003  نزد بانک ملی شعبه میرداماد کد 64 به نام اداره کل امور مالیاتی جهت پرداخت مالیات حقوق فروردین ماه 1399، واحد 881521(قبض413863362)</t>
  </si>
  <si>
    <t>واریز به شماره حساب 2110100714007 نزد بانک ملی شعبه میرداماد کد 64 بنام مالیات حقوق بخش خصوصی شمال تهران جهت پرداخت مالیات حقوق فروردین ماه 1399 در وجه سازمان امور مالیاتی، واحد 401623(قبض413861583)</t>
  </si>
  <si>
    <t>265439</t>
  </si>
  <si>
    <t>265440</t>
  </si>
  <si>
    <t>واریزی به شماره حساب 8568095770  نزد بانک ملت بنام آقای علی عباسی بابت تسویه حقوق فروردین ماه 1399 ایشان</t>
  </si>
  <si>
    <t>واریزی به شماره حساب 5514295617 نزد بانک ملت بنام آقای میثم خسروی پور بابت تسویه حقوق فروردین ماه 1399 ایشان</t>
  </si>
  <si>
    <t>501691</t>
  </si>
  <si>
    <t>1399/03/26</t>
  </si>
  <si>
    <t>حواله ساتنا به حساب IR18 0190 0000 0010 3467 3920 09 نزد بانک صادرات به نام آقای علی زاهدیان بابت پرداخت هزینه اجاره خوابگاه اردیبهشت ماه 1399</t>
  </si>
  <si>
    <t>1399/02/28</t>
  </si>
  <si>
    <t>501692</t>
  </si>
  <si>
    <t>واریز  به حساب متمرکز اداره کل امور مالی کد 8150  جهت پرداخت حق بیمه اردیبهشت ماه 1399 کارکنان  به نام سازمان تامین اجتماعی شعبه بیست و پنج تهران (قبض025099031944601</t>
  </si>
  <si>
    <t>واریز  به حساب متمرکز اداره کل امور مالی کد 8150  جهت پرداخت حق بیمه اردیبهشت ماه 1399 کارکنان به نام سازمان تامین اجتماعی شعبه کنگان (قبض511099030278601)</t>
  </si>
  <si>
    <t>501693</t>
  </si>
  <si>
    <t>501694</t>
  </si>
  <si>
    <t>واریز به شماره حساب  2110101614003  نزد بانک ملی شعبه میرداماد کد 64 به نام اداره کل امور مالیاتی جهت پرداخت مالیات حقوق اردیبهشت ماه 1399، واحد 881521(قبض345584181)</t>
  </si>
  <si>
    <t>واریز به شماره حساب 2110100714007 نزد بانک ملی شعبه میرداماد کد 64 بنام مالیات حقوق بخش خصوصی شمال تهران جهت پرداخت مالیات حقوق اردیبهشت ماه 1399 در وجه سازمان امور مالیاتی، واحد 401623(قبض346809518)</t>
  </si>
  <si>
    <t>501695</t>
  </si>
  <si>
    <t>501696</t>
  </si>
  <si>
    <t>501697</t>
  </si>
  <si>
    <t>واریزی به شماره حساب 8568095770  نزد بانک ملت بنام آقای علی عباسی بابت تسویه حقوق اردیبهشت ماه 1399 ایشان</t>
  </si>
  <si>
    <t>واریزی به شماره حساب 5514295617 نزد بانک ملت بنام آقای میثم خسروی پور بابت تسویه حقوق اردیبهشت ماه 1399 ایشان</t>
  </si>
  <si>
    <t>1399/04/25</t>
  </si>
  <si>
    <t>501698</t>
  </si>
  <si>
    <t>حواله ساتنا به حساب IR18 0190 0000 0010 3467 3920 09 نزد بانک صادرات به نام آقای علی زاهدیان بابت پرداخت هزینه اجاره خوابگاه خرداد ماه 1399</t>
  </si>
  <si>
    <t>501699</t>
  </si>
  <si>
    <t>501700</t>
  </si>
  <si>
    <t>واریزی به شماره حساب 8568095770  نزد بانک ملت بنام آقای علی عباسی بابت تسویه حقوق خرداد ماه 1399 ایشان</t>
  </si>
  <si>
    <t>واریزی به شماره حساب 5514295617 نزد بانک ملت بنام آقای میثم خسروی پور بابت تسویه حقوق خرداد ماه 1399 ایشان</t>
  </si>
  <si>
    <t>واریز  به حساب متمرکز اداره کل امور مالی کد 8150  جهت پرداخت حق بیمه خرداد ماه 1399 کارکنان به نام سازمان تامین اجتماعی شعبه کنگان (قبض511099040330801)</t>
  </si>
  <si>
    <t>501701</t>
  </si>
  <si>
    <t>1399/04/29</t>
  </si>
  <si>
    <t>501702</t>
  </si>
  <si>
    <t>واریز  به حساب متمرکز اداره کل امور مالی کد 8150  جهت پرداخت حق بیمه خرداد ماه 1399 کارکنان  به نام سازمان تامین اجتماعی شعبه بیست و پنج تهران (قبض0250991573012)</t>
  </si>
  <si>
    <t>501703</t>
  </si>
  <si>
    <t>واریز به شماره حساب  2110101614003  نزد بانک ملی شعبه میرداماد کد 64 به نام اداره کل امور مالیاتی جهت پرداخت مالیات حقوق خرداد ماه 1399، واحد 881521(قبض256717529)</t>
  </si>
  <si>
    <t>501704</t>
  </si>
  <si>
    <t>واریز به شماره حساب 2110100714007 نزد بانک ملی شعبه میرداماد کد 64 بنام مالیات حقوق بخش خصوصی شمال تهران جهت پرداخت مالیات حقوق خرداد ماه 1399 در وجه سازمان امور مالیاتی، واحد 401623(قبض256703123)</t>
  </si>
  <si>
    <t>1399/05/15</t>
  </si>
  <si>
    <t>501705</t>
  </si>
  <si>
    <t>حواله ساتنا به حساب IR81 0150 0000 0178 5301 0158 09 نزد بانک سپه بنام آقای منصور کاظمیان مهابادی با کد ملی 1189455854 بابت تسویه پ ف TKP-231/99 خرید دریچه منهول از تامین کالای پارسیان</t>
  </si>
  <si>
    <t>501706</t>
  </si>
  <si>
    <t>حواله ساتنا به حساب IR35 0120 0000 0000 0003 3635 23  نزد بانک ملت به نام آقای عبداله بحرانی جهت تسویه با شرکت شن و ماسه بهارجاشک جهت تسویه فاکتور اردیبهشت ماه 1399 خرید شن و ماسه سایت</t>
  </si>
  <si>
    <t>1399/05/20</t>
  </si>
  <si>
    <t>501707</t>
  </si>
  <si>
    <t>چ ابطال شد</t>
  </si>
  <si>
    <t>501708</t>
  </si>
  <si>
    <t>حواله ساتنا به حساب IR54 0150 0000 0159 6301 4207 12 نزد بانک سپه بنام آقای حسینعلی حجاری زاده بابت  اجاره 1399/04/15 تا 1399/05/15 6 دانگ ساختمان اداری پلاک ثبتی فرعی شماره 2693 از پلاک ثبتی اصلی 3381 به مساحت 1210 مترمربع طبق قرارداد 18998249</t>
  </si>
  <si>
    <t>501709</t>
  </si>
  <si>
    <t>حواله ساتنا به حساب IR91 0550 0215 8000 2688 5970 01 نزد بانک اقتصادنوین به نام آقای محسن خستو به شماره ملی 4839597987  بابت شارژ تنخواه دفتر مرکزی(اسناد تنخواه70)</t>
  </si>
  <si>
    <t>501710</t>
  </si>
  <si>
    <t>1399/05/16</t>
  </si>
  <si>
    <t>واریزی به حساب 87442172068 نزد بانک ملت بنام شرکت سپهرمولد بابت علی الحساب</t>
  </si>
  <si>
    <t>حواله ساتنا به حساب IR60  0120  0200  0000  1714  4834  95 نزد بانک ملت به نام آقای عباس رحیمی بابت فاکتور شماره 102-9904  P.B.X جهت خرید تجهیزات تلفن و سانترال و گوشی و ... پس از کسر پیش پرداخت</t>
  </si>
  <si>
    <t>501711</t>
  </si>
  <si>
    <t>1399/05/21</t>
  </si>
  <si>
    <t>501712</t>
  </si>
  <si>
    <t>حواله ساتنا به حساب IR95 0170 0000 0010 6641 5330 06 نزد بانک ملی به نام شرکت بین المللی ساروج بوشهر بابت تسویه پ ف 99/3/5022 خرید سیمان فله تیپ2</t>
  </si>
  <si>
    <t>501713</t>
  </si>
  <si>
    <t>حواله ساتنا به حساب IR23 0190 0000 0011 2778 0280 02 نزد بانک صادرات بنام آقای محمدرضا بهرامی باکدملی 0064427609 بابت خرید یکدستگاه موتور سیکلت پیشرو125مول99 طی ف 2476 از فروشگاه تک سیکلت</t>
  </si>
  <si>
    <t>501714</t>
  </si>
  <si>
    <t>1399/05/22</t>
  </si>
  <si>
    <t>حواله ساتنا به حساب IR71 0170 0000 0036 0882 6280 02 نزد بانک ملی بنام آهن آلات نوین آرکا بابت 50% پ پ سفارش اتصالات فنس سایت طی پ ف 1085</t>
  </si>
  <si>
    <t>501715</t>
  </si>
  <si>
    <t>حواله ساتنا به حساب IR52 0170 0000 0011 3792 6770 02 نزد بانک ملی بنام شرکت فلزات نوین تجارت آزاد بابت 50% پ پ سفارش درب آهنی انبار سایت طی پ ف 1168</t>
  </si>
  <si>
    <t>501716</t>
  </si>
  <si>
    <t>حواله ساتنا به حساب IR91 0550 0215 8000 2688 5970 01 نزد بانک اقتصادنوین به نام آقای محسن خستو به شماره ملی 4839597987  بابت شارژ تنخواه دفتر مرکزی(اسناد تنخواه71.72)</t>
  </si>
  <si>
    <t>حواله ساتنا به حساب IR21 0120 0200 0000 4421 5120 85 نزد بانک ملت به نام شرکت خدمات مسافرت هوایی پرتو پرواز فردا بابت صورتحساب 60</t>
  </si>
  <si>
    <t>501717</t>
  </si>
  <si>
    <t>1399/05/25</t>
  </si>
  <si>
    <t>501718</t>
  </si>
  <si>
    <t>واریز به حساب شماره 5235601429 نزد بانک ملت بنام آقای امید عباسی به کد ملی 3579852272 بابت تسویه ف 1002034 و 1002033 و 1002032 و 1001896 شرکت روشن جام یلدا بابت هزینه های انبارداری و حق توقف ورقهای مخازن کروی راژان</t>
  </si>
  <si>
    <t>501719</t>
  </si>
  <si>
    <t>501720</t>
  </si>
  <si>
    <t>1399/05/26</t>
  </si>
  <si>
    <t>501721</t>
  </si>
  <si>
    <t>501722</t>
  </si>
  <si>
    <t>حواله ساتنا به حساب IR48 0180 0000 0000 0083 4920 74  نزد بانک تجارت شعبه توانیر کد 832 به نام شرکت لوید آلمان کیش بابت تسویه ف 0524-20 از ق ADSH-E-CO-GE-006</t>
  </si>
  <si>
    <t xml:space="preserve">حواله ساتنا به حسابIR24 0180 0000 0000 0023 1276 60  نزد بانک تجارت به نام شرکت مهندسین مشاور پی کاو بابت پرداخت کامل صورت وضعیت تائید شده شماره 13 مطالعات ژئوتکنیک طبق قرارداد ش ADISH-E-CO_CV-005 </t>
  </si>
  <si>
    <t>حواله ساتنا به حساب IR44 0570 0305 1101 3918 2830 01 نزد بانک پاسارگاد بنام شرکت داده پردازی نیک آفرین امروز پارسیان بابت 50% پ پ ق ADSH-P-CO-GE-013 تامین دوربین های CCTV ساختمان انبار</t>
  </si>
  <si>
    <t>501723</t>
  </si>
  <si>
    <t>حواله ساتنا به حساب IR23 0180 0000 0000 0012 9212 41 نرد بانک تجارت بنام نیکان تک ایرانیان بابت تسویه صورتحساب 6338 و 6339 خرید ANCHOR BOLT پس از کسر ارزش افزوده</t>
  </si>
  <si>
    <t>501724</t>
  </si>
  <si>
    <t>واریز به شماره حساب 1-6300529-2-155 نزد بانک اقتصادنوین به نام شرکت بهساز فرآیند سیستم بابت پرداخت بخش2 از قرارداد شماره 1398/132/BFS جهت استقرار ماژول های دفتر کل و جبران خدمات پس از کسر کسورات قانونی</t>
  </si>
  <si>
    <t>501725</t>
  </si>
  <si>
    <t>1399/5/26</t>
  </si>
  <si>
    <t>حواله ساتنا به حساب IR11 0200 0000 0010 0011 6220 06  نزد بانک توسعه صادرات کد 1305 بنام شرکت تولیدی و صنعتی فراسان بابت 50% پ پ پ ف 119/2755 خرید لوله GRP و مایتر</t>
  </si>
  <si>
    <t>501726</t>
  </si>
  <si>
    <t>واریز به حساب  13342874/79  نزد بانک ملت بنام شرکت صنعتی و شیمیایی رنگین زره بابت تسویه پ ف 1820 خرید رنگ-آستری-تینر</t>
  </si>
  <si>
    <t>501727</t>
  </si>
  <si>
    <t>حواله ساتنا به حساب IR91 0550 0215 8000 2688 5970 01 نزد بانک اقتصادنوین به نام آقای محسن خستو به شماره ملی 4839597987  بابت شارژ تنخواه دفتر مرکزی(اسناد تنخواه73.74)</t>
  </si>
  <si>
    <t>501728</t>
  </si>
  <si>
    <t>واریز  به حساب متمرکز اداره کل امور مالی کد 8150  جهت پرداخت حق بیمه تیر ماه 1399 کارکنان  به نام سازمان تامین اجتماعی شعبه بیست و پنج تهران (قبض025099052054301)</t>
  </si>
  <si>
    <t>1399/05/27</t>
  </si>
  <si>
    <t>501729</t>
  </si>
  <si>
    <t>واریز  به حساب متمرکز اداره کل امور مالی کد 8150  جهت پرداخت حق بیمه تیر ماه 1399 کارکنان به نام سازمان تامین اجتماعی شعبه کنگان (قبض511099050292801)</t>
  </si>
  <si>
    <t>501730</t>
  </si>
  <si>
    <t>واریز به شماره حساب 2110100714007 نزد بانک ملی شعبه میرداماد کد 64 بنام مالیات حقوق بخش خصوصی شمال تهران جهت پرداخت مالیات حقوق تیر ماه 1399 در وجه سازمان امور مالیاتی، واحد 401623(قبض167335459)</t>
  </si>
  <si>
    <t>501731</t>
  </si>
  <si>
    <t>واریز به شماره حساب  2110101614003  نزد بانک ملی شعبه میرداماد کد 64 به نام اداره کل امور مالیاتی جهت پرداخت مالیات حقوق تیر ماه 1399، واحد 881521(قبض167308569)</t>
  </si>
  <si>
    <t>501732</t>
  </si>
  <si>
    <t>501733</t>
  </si>
  <si>
    <t>واریزی به شماره حساب 8568095770  نزد بانک ملت بنام آقای علی عباسی و واریزی به شماره حساب 5514295617 نزد بانک ملت بنام آقای میثم خسروی پور بابت تسویه حقوق تیر ماه 1399 طبق لیست پیوست</t>
  </si>
  <si>
    <t>1399/05/28</t>
  </si>
  <si>
    <t>501734</t>
  </si>
  <si>
    <t>واریز به حساب شماره 5326694736 نزد بانک ملت بنام شرکت فناوران آواسیس بابت تسویه پ ف 3336 مورخ 1399/05/26 بابت خرید دوربین ساختمان جدید</t>
  </si>
  <si>
    <t>501735</t>
  </si>
  <si>
    <t>حواله ساتنا به حساب IR 82 0130 1000 0000 0043 3971 41 نزد بانک رفاه کد 180 به نام شرکت ترسیم گران اندیشه پویا بابت تسویه فاکتورهای شماره 6698.6699 خرید سیستم کامپیوتر و مانیتور و موس</t>
  </si>
  <si>
    <t>501736</t>
  </si>
  <si>
    <t>حواله ساتنا به حساب IR38 0630 2526 0441 6838 0830 01 نزد بانک انصار بنام خانم مرضیه هدایتی بابت پیش پرداخت طبق تفاهم نامه خرید مصالح شن و ماسه جهت تولید بتن</t>
  </si>
  <si>
    <t>501737</t>
  </si>
  <si>
    <t>حواله ساتنا به حساب IR18 0120 0000 0000 5689 6805 63 نزد بانک ملت شعبه خیابان بزرگمهر به نام  شرکت مهندسی ماه تابان رایانه جهت پرداخت فاکتور 18215 مورخ 1399/04/31 بابت خرید  پاور و کابل</t>
  </si>
  <si>
    <t>501738</t>
  </si>
  <si>
    <t>حواله ساتنا به حساب شماره IR47 0120 0100 0000 1938 1638 51 نزد بانک ملت بنام آقای سیدحسین میری با کدملی 0519843150 بابت تسویه خرید میز و فایل 3 کشو ف مورخ 1399/05/15خرید از صنایع چوب میری ساختمان جدید</t>
  </si>
  <si>
    <t>501739</t>
  </si>
  <si>
    <t>حواله ساتنا به حساب IR44 0130 1000 0000 0015 5074 15 بنام آقای عنایت رزاقیان ینگجه بابت تسویه خرید صندلی طی پ ف 25 از مبلمان اداری و خانکی پاکرو</t>
  </si>
  <si>
    <t>1399/05/29</t>
  </si>
  <si>
    <t>1399/06/11</t>
  </si>
  <si>
    <t>501740</t>
  </si>
  <si>
    <t>حواله ساتنا به حساب IR58 0550 0215 0850 6381 4040 01 نزد بانک اقتصادنوین بنام شرکت سپهرمولد بابت علی الحساب قرارداد فیمابین</t>
  </si>
  <si>
    <t>1399/06/16</t>
  </si>
  <si>
    <t>696651</t>
  </si>
  <si>
    <t>واریز به شماره حساب IR5101 1000 0000 2000 7943 2000 شرکت پالایش میعانات گازی آدیش جنوبی نزد بانک صنعت و معدن شعبه توسعه ملی بابت تامین موجودی جهت پرداخت کارمزدهای ظهرنویسی اسناد اعتباراسنادی</t>
  </si>
  <si>
    <t>1399/06/24</t>
  </si>
  <si>
    <t>696652</t>
  </si>
  <si>
    <t>واریزی به شماره حساب 8568095770  نزد بانک ملت بنام آقای علی عباسی و واریزی به شماره حساب 5514295617 نزد بانک ملت بنام آقای میثم خسروی پور بابت تسویه حقوق مرداد ماه 1399 طبق لیست پیوست</t>
  </si>
  <si>
    <t>696653</t>
  </si>
  <si>
    <t>696654</t>
  </si>
  <si>
    <t>696655</t>
  </si>
  <si>
    <t>696656</t>
  </si>
  <si>
    <t>واریز  به حساب متمرکز اداره کل امور مالی کد 8150  جهت پرداخت حق بیمه مرداد ماه 1399 کارکنان  به نام سازمان تامین اجتماعی شعبه بیست و پنج تهران (قبض025099062335701)</t>
  </si>
  <si>
    <t>واریز  به حساب متمرکز اداره کل امور مالی کد 8150  جهت پرداخت حق بیمه مردادماه 1399 کارکنان به نام سازمان تامین اجتماعی شعبه کنگان (قبض511099060298101)</t>
  </si>
  <si>
    <t>واریز به شماره حساب  2110101614003  نزد بانک ملی شعبه میرداماد کد 64 به نام اداره کل امور مالیاتی جهت پرداخت مالیات حقوق مرداد ماه 1399، واحد 881521(قبض7221320681)</t>
  </si>
  <si>
    <t>واریز به شماره حساب 2110100714007 نزد بانک ملی شعبه میرداماد کد 64 بنام مالیات حقوق بخش خصوصی شمال تهران جهت پرداخت مالیات حقوق مرداد ماه 1399 در وجه سازمان امور مالیاتی، واحد 401623(قبض7228896747)</t>
  </si>
  <si>
    <t>1399/07/02</t>
  </si>
  <si>
    <t>696657</t>
  </si>
  <si>
    <t>حواله ساتنا به حساب شماره IR47 0120 0100 0000 1938 1638 51 نزد بانک ملت بنام آقای سیدحسین میری با کدملی 0519843150 بابت تسویه خرید میز و فایل 3 کشو و کمد درب دار رئیس دفتر ف مورخ 1399/05/20و1399/05/14 خرید از صنایع چوب میری ساختمان جدید</t>
  </si>
  <si>
    <t>1399/07/06</t>
  </si>
  <si>
    <t>696658</t>
  </si>
  <si>
    <t>حواله ساتنا به حساب IR91 0550 0215 8000 2688 5970 01 نزد بانک اقتصادنوین به نام آقای محسن خستو به شماره ملی 4839597987  بابت شارژ تنخواه دفتر مرکزی(اسناد تنخواه93.94)</t>
  </si>
  <si>
    <t>696659</t>
  </si>
  <si>
    <t>واریز به شماره حساب IR5101 1000 0000 2000 7943 2000 شرکت پالایش میعانات گازی آدیش جنوبی نزد بانک صنعت و معدن شعبه توسعه ملی بابت تامین موجودی جهت پرداخت کارمزدهای ظهرنویسی اسناد اعتباراسنادی و تمدید اعتبار ریالی اریس اکسین</t>
  </si>
  <si>
    <t>696660</t>
  </si>
  <si>
    <t>واریز به شماره حساب 1-6300529-2-155 نزد بانک اقتصادنوین به نام شرکت بهساز فرآیند سیستم بابت پرداخت و تسویه از قرارداد شماره 1398/132/BFS جهت استقرار ماژول های دفتر کل و جبران خدمات پس از کسر کسورات قانونی</t>
  </si>
  <si>
    <t>696661</t>
  </si>
  <si>
    <t>1399/07/07</t>
  </si>
  <si>
    <t>حواله ساتنا به حساب IR73 0170 0000 0011 1371 6220 02  نزد بانک ملی به نام شرکت کاریز هیدرو سازه گیل بابت تسویه صورتحساب 1619 خرید ابرروان کننده و کاهنده شدید آب بتن طی درخواست 066</t>
  </si>
  <si>
    <t>1399/07/21</t>
  </si>
  <si>
    <t>696662</t>
  </si>
  <si>
    <t>حواله ساتنا به حساب IR60  0120  0200  0000  1714  4834  95 نزد بانک ملت به نام آقای عباس رحیمی بابت فاکتور شماره 103-9906  P.B.X جهت خرید تجهیزات اجرا دوربین های ساختمان و گوشی تلفن و ...</t>
  </si>
  <si>
    <t>696663</t>
  </si>
  <si>
    <t>696664</t>
  </si>
  <si>
    <t>واریز  به حساب متمرکز اداره کل امور مالی کد 8150  جهت پرداخت حق بیمه شهریور ماه 1399 کارکنان  به نام سازمان تامین اجتماعی شعبه بیست و پنج تهران (قبض025099072114501)</t>
  </si>
  <si>
    <t>واریز  به حساب متمرکز اداره کل امور مالی کد 8150  جهت پرداخت حق بیمه شهریور ماه 1399 کارکنان به نام سازمان تامین اجتماعی شعبه کنگان (قبض51109970265001)</t>
  </si>
  <si>
    <t>1399/07/22</t>
  </si>
  <si>
    <t>696665</t>
  </si>
  <si>
    <t xml:space="preserve">واریزی به شماره حساب 5514295617 نزد بانک ملت بنام آقای میثم خسروی پور  بابت تسویه حقوق شهریور ماه 1399 طبق لیست </t>
  </si>
  <si>
    <t xml:space="preserve">واریزی به شماره حساب 8568095770  نزد بانک ملت بنام آقای علی عباسی بابت تسویه حقوق شهریور ماه 1399 طبق لیست </t>
  </si>
  <si>
    <t>696666</t>
  </si>
  <si>
    <t>696667</t>
  </si>
  <si>
    <t>حواله ساتنا به حساب IR50 0570 0348 8001 1290 2291 01 نزد بانک پاسارگاد بنام آقای محسن خسروی بابت تسویه فاکتور 289 بابت تمدید دامنه وب 1 ساله از 26/09/2020 تا 25/09/2021 از شرکت هاست کوشان</t>
  </si>
  <si>
    <t>696668</t>
  </si>
  <si>
    <t>696669</t>
  </si>
  <si>
    <t>واریز به شماره حساب  2110101614003  نزد بانک ملی شعبه میرداماد کد 64 به نام اداره کل امور مالیاتی جهت پرداخت مالیات حقوق شهریور ماه 1399، واحد 881521(قبض4669084685)</t>
  </si>
  <si>
    <t>واریز به شماره حساب 2110100714007 نزد بانک ملی شعبه میرداماد کد 64 بنام مالیات حقوق بخش خصوصی شمال تهران جهت پرداخت مالیات حقوق شهریور ماه 1399 در وجه سازمان امور مالیاتی، واحد 401623(قبض4669057215)</t>
  </si>
  <si>
    <t>696670</t>
  </si>
  <si>
    <t>واریز به شماره حساب 71/47901713 نزد بانک ملت بنام بنیاد علوم کاربردی رازی بابت پیش پرداخت هزینه تست کوآنتومی پرتابل طی نامه ش 9907/1421</t>
  </si>
  <si>
    <t>696671</t>
  </si>
  <si>
    <t>1399/07/28</t>
  </si>
  <si>
    <t>حواله ساتنا به حساب IR88 0570 0326 8601 1556 6101 01 نزد بانک پاسارگاد بنام شرکت حمل و نقل بین المللی توشه بر بابت هزینه صدور ترخیصیه و ... بارنامه ش SMTGLG20070722 بابت اسناد پارت 49 فاتح صنعت ق SHELL TUBE EXCHANGER</t>
  </si>
  <si>
    <t>696672</t>
  </si>
  <si>
    <t>حواله ساتنا به حساب IR88 0570 0326 8601 1556 6101 01 نزد بانک پاسارگاد بنام شرکت حمل و نقل بین المللی توشه بر بابت هزینه سپرده نقدی کانتینر بارنامه ش SMTGLG20070722 بابت اسناد پارت 49 فاتح صنعت ق SHELL TUBE EXCHANGER</t>
  </si>
  <si>
    <t>696673</t>
  </si>
  <si>
    <t>696674</t>
  </si>
  <si>
    <t>حواله ساتنا به حساب IR88 0570 0326 8601 1556 6101 01 نزد بانک پاسارگاد بنام شرکت حمل و نقل بین المللی توشه بر بابت هزینه صدور ترخیصیه و ... بارنامه ش SMTGLG20070722A بابت اسناد پارت 48 فاتح صنعت ق SHELL TUBE EXCHANGER -FORGET ITEA PART 1</t>
  </si>
  <si>
    <t>حواله ساتنا به حساب IR88 0570 0326 8601 1556 6101 01 نزد بانک پاسارگاد بنام شرکت حمل و نقل بین المللی توشه بر بابت سپرده نقدی کانتینر بارنامه ش SMTGLG20070722A بابت اسناد پارت 48 فاتح صنعت ق SHELL TUBE EXCHANGER -FORGET ITEA PART 1</t>
  </si>
  <si>
    <t>696675</t>
  </si>
  <si>
    <t>هزینه کارمزد چاپ صورتحساب</t>
  </si>
  <si>
    <t>1399/06/26</t>
  </si>
  <si>
    <t>1399/06/15</t>
  </si>
  <si>
    <t>هزینه ثبت کدپستی</t>
  </si>
  <si>
    <t>1399/06/10</t>
  </si>
  <si>
    <t>هزینه کارمزد صدور دسته چک 50 برگی</t>
  </si>
  <si>
    <t>1399/06/05</t>
  </si>
  <si>
    <t>1399/03/10</t>
  </si>
  <si>
    <t>هزینه کارمزد صدور صورتحساب 1 ساله</t>
  </si>
  <si>
    <t>1399/03/19</t>
  </si>
  <si>
    <t>واریز  به حساب متمرکز اداره کل امور مالی کد 8150  جهت پرداخت حق بیمه شهریور ماه 1399 کارکنان  به نام سازمان تامین اجتماعی شعبه بیست و پنج تهران (بدهی025088072125101)-سپهرمولد علی الحساب فیمابین</t>
  </si>
  <si>
    <t>واریز به شماره حساب 47901713/71 نزد بانک ملت بنام بنیاد علوم کاربردی رازی بابت تسویه هزینه تست کوآنتومی پرتابل طی نامه ش 9907/1421 و شماره پیگیری 22987</t>
  </si>
  <si>
    <t>696676</t>
  </si>
  <si>
    <t>1399/07/29</t>
  </si>
  <si>
    <t>1399/08/24</t>
  </si>
  <si>
    <t>696677</t>
  </si>
  <si>
    <t xml:space="preserve">واریزی به شماره حساب 8568095770  نزد بانک ملت بنام آقای علی عباسی و واریزی به شماره حساب 5514295617 نزد بانک ملت بنام آقای میثم خسروی پور  بابت تسویه حقوق مهر ماه 1399 طبق لیست </t>
  </si>
  <si>
    <t>1399/08/26</t>
  </si>
  <si>
    <t>696678</t>
  </si>
  <si>
    <t>واریز به شماره حساب  2110101614003  نزد بانک ملی شعبه میرداماد کد 64 به نام اداره کل امور مالیاتی جهت پرداخت مالیات حقوق مهر ماه 1399، واحد 881521(قبض7954188840)</t>
  </si>
  <si>
    <t>696679</t>
  </si>
  <si>
    <t>واریز به شماره حساب 2110100714007 نزد بانک ملی شعبه میرداماد کد 64 بنام مالیات حقوق بخش خصوصی شمال تهران جهت پرداخت مالیات حقوق مهر ماه 1399 در وجه سازمان امور مالیاتی، واحد 401623(قبض7954123837)</t>
  </si>
  <si>
    <t>696680</t>
  </si>
  <si>
    <t>واریز به شماره حساب 2110100714007 نزد بانک ملی شعبه میرداماد کد 64 بنام مالیات حقوق بخش خصوصی شمال تهران جهت پرداخت مالیات حقوق مهر ماه 1399 در وجه سازمان امور مالیاتی، واحد 401623(قبض7954092772)</t>
  </si>
  <si>
    <t>696681</t>
  </si>
  <si>
    <t>واریز  به حساب متمرکز اداره کل امور مالی کد 8150  جهت پرداخت حق بیمه مهرماه 1399 کارکنان به نام سازمان تامین اجتماعی شعبه کنگان (قبض511099080256601)</t>
  </si>
  <si>
    <t>696682</t>
  </si>
  <si>
    <t>واریز  به حساب متمرکز اداره کل امور مالی کد 8150  جهت پرداخت حق بیمه مهر ماه 1399 کارکنان  به نام سازمان تامین اجتماعی شعبه بیست و پنج تهران (قبض025099082132701)</t>
  </si>
  <si>
    <t>696683</t>
  </si>
  <si>
    <t>1399/09/23</t>
  </si>
  <si>
    <t xml:space="preserve">واریزی به شماره حساب 8568095770  نزد بانک ملت بنام آقای علی عباسی و واریزی به شماره حساب 5514295617 نزد بانک ملت بنام آقای میثم خسروی پور  بابت تسویه حقوق آبان ماه 1399 طبق لیست </t>
  </si>
  <si>
    <t>رسیدگی کننده:</t>
  </si>
  <si>
    <t>1399/09/17</t>
  </si>
  <si>
    <t>کارمزد بانکی</t>
  </si>
  <si>
    <t>واریز  به حساب متمرکز اداره کل امور مالی کد 8150  جهت پرداخت حق بیمه آبان ماه 1399 کارکنان  به نام سازمان تامین اجتماعی شعبه بیست و پنج تهران (قبض025099092990301)</t>
  </si>
  <si>
    <t>واریز  به حساب متمرکز اداره کل امور مالی کد 8150  جهت پرداخت حق بیمه آبان ماه 1399 کارکنان به نام سازمان تامین اجتماعی شعبه کنگان (قبض511099090362201)</t>
  </si>
  <si>
    <t>1399/09/26</t>
  </si>
  <si>
    <t>696684</t>
  </si>
  <si>
    <t>696685</t>
  </si>
  <si>
    <t>696686</t>
  </si>
  <si>
    <t>696687</t>
  </si>
  <si>
    <t>696688</t>
  </si>
  <si>
    <t>696689</t>
  </si>
  <si>
    <t>واریز به شماره حساب 2110100714007 نزد بانک ملی شعبه میرداماد کد 64 بنام مالیات حقوق بخش خصوصی شمال تهران جهت پرداخت مالیات حقوق سال 1397در وجه سازمان امور مالیاتی، واحد 401623(قبض9014672310)</t>
  </si>
  <si>
    <t>چ باطل شد</t>
  </si>
  <si>
    <t>696690</t>
  </si>
  <si>
    <t>696691</t>
  </si>
  <si>
    <t>حواله ساتنا به حساب IR47 0100 0040 7400 1001 0266 74  نزد بانک ملی بنام سازمان امور مالیاتی و شناسه پرداخت 299001039110202000030042093953 جهت پرداخت مالیات حقوق آبان 1399 واحد مالیاتی 401623</t>
  </si>
  <si>
    <t>حواله ساتنا به حساب IR74 0100 0040 7300 1001 0266 26  نزد بانک ملی بنام سازمان امور مالیاتی و شناسه پرداخت 259001073110202000030042090995 جهت پرداخت مالیات حقوق آبان 1399 واحد مالیاتی 881521</t>
  </si>
  <si>
    <t>1399/09/29</t>
  </si>
  <si>
    <t>1399/10/02</t>
  </si>
  <si>
    <t>696692</t>
  </si>
  <si>
    <t>1399/10/22</t>
  </si>
  <si>
    <t>1399/10/21</t>
  </si>
  <si>
    <t>پرداخت حقوق و دستمزد دی ماه 1399 کارکنان شرکت پالایش میعانات گازی آدیش جنوبی طبق لیست پیوست (پرسنل گمرک)</t>
  </si>
  <si>
    <t>696693</t>
  </si>
  <si>
    <t>1399/11/25</t>
  </si>
  <si>
    <t xml:space="preserve">واریز  به حساب متمرکز اداره کل امور مالی کد 8150  جهت پرداخت حق بیمه دی ماه 1399 کارکنان  به نام سازمان تامین اجتماعی شعبه بیست و پنج تهران (قبض025099112512901) </t>
  </si>
  <si>
    <t>696694</t>
  </si>
  <si>
    <t>واریز  به حساب متمرکز اداره کل امور مالی کد 8150  جهت پرداخت حق بیمه دی ماه 1399 کارکنان به نام سازمان تامین اجتماعی شعبه کنگان (قبض 511099110253301)</t>
  </si>
  <si>
    <t>696695</t>
  </si>
  <si>
    <t>حواله ساتنا به حساب  IR47 0100 0040 7400 1001 0266 74  نزد بانک ملی بنام سازمان امور مالیاتی و شناسه پرداخت 291001039110202000030130314653 جهت پرداخت مالیات تبصره 86  دی 1399 واحد مالیاتی 401623 (شماره قبض 30130314653)</t>
  </si>
  <si>
    <t>696696</t>
  </si>
  <si>
    <t>حواله ساتنا به حساب IR74 0100 0040 7300 1001 0266 26  نزد بانک ملی بنام سازمان امور مالیاتی و شناسه پرداخت 281001073110202000030130323841 جهت پرداخت مالیات حقوق دی 1399 واحد مالیاتی 881521 (شماره قبض 30130323841)</t>
  </si>
  <si>
    <t>696697</t>
  </si>
  <si>
    <t>1399/10/27</t>
  </si>
  <si>
    <t xml:space="preserve">کارمزد بانکی صورتحساب سال جاری </t>
  </si>
  <si>
    <t>1399/11/05</t>
  </si>
  <si>
    <t>واریزی از شرکت ذوب آهن آریان</t>
  </si>
  <si>
    <t>1399/11/26</t>
  </si>
  <si>
    <t xml:space="preserve">کارمزد بانکی صدور ساتنا و صورتحساب سال جاری  </t>
  </si>
  <si>
    <t xml:space="preserve">کارمزد صدور دسته چک </t>
  </si>
  <si>
    <t>1399/11/29</t>
  </si>
  <si>
    <t>پرداخت حقوق و دستمزد بهمن ماه 1399 کارکنان شرکت پالایش میعانات گازی آدیش جنوبی طبق لیست پیوست (پرسنل گمرک)</t>
  </si>
  <si>
    <t>1399/12/16</t>
  </si>
  <si>
    <t>696698</t>
  </si>
  <si>
    <t>1399/12/06</t>
  </si>
  <si>
    <t>696699</t>
  </si>
  <si>
    <t>1399/12/19</t>
  </si>
  <si>
    <t>پرداخت عیدی 1399 کارکنان شرکت پالایش میعانات گازی آدیش جنوبی طبق لیست پیوست (پرسنل گمرک)</t>
  </si>
  <si>
    <t>1399/12/25</t>
  </si>
  <si>
    <t>1399/12/20</t>
  </si>
  <si>
    <t>1400/01/01</t>
  </si>
  <si>
    <t>1400/01/08</t>
  </si>
  <si>
    <t>واریزی از آقای مهندس صفایی بابت قرض الحسنه(افزایس سرمایه)</t>
  </si>
  <si>
    <t>1400/01/16</t>
  </si>
  <si>
    <t xml:space="preserve">واریز به شماره حساب IR81 0550 0215 8500 5278 6240 01 نزد بانک اقتصاد نوین بنام شرکت پالایش میعانات گازی آدیش جنوبی بابت تامین موجودی </t>
  </si>
  <si>
    <t>1400/01/17</t>
  </si>
  <si>
    <t>696700</t>
  </si>
  <si>
    <t>پرداخت حقوق و دستمزد اسفند ماه 1399 کارکنان شرکت پالایش میعانات گازی آدیش جنوبی طبق لیست پیوست (پرسنل گمرک)</t>
  </si>
  <si>
    <t>1400/01/23</t>
  </si>
  <si>
    <t>751346</t>
  </si>
  <si>
    <t>هزینه کارمزد صورتحساب سال گذشته و سال جاری</t>
  </si>
  <si>
    <t>1400/01/25</t>
  </si>
  <si>
    <t>1400/01/18</t>
  </si>
  <si>
    <t>کارمزد صدور ساتنا</t>
  </si>
  <si>
    <t>1400/01/24</t>
  </si>
  <si>
    <t xml:space="preserve">کارمزد واریز حقوق پرسنل </t>
  </si>
  <si>
    <t>1400/02/06</t>
  </si>
  <si>
    <t>واریزی سهامداران بابت افزایش سرمایه</t>
  </si>
  <si>
    <t>302816</t>
  </si>
  <si>
    <t>751347</t>
  </si>
  <si>
    <t>751348</t>
  </si>
  <si>
    <t xml:space="preserve">واریز به حساب 8587101911 نزد بانک ملت  به نام شرکت اریس اکسین  بابت  پ ف OX-PI-A-14001-08 خرید 548.136  کیلو گرم ورق A516 </t>
  </si>
  <si>
    <t>واریز به حساب 13342874/79 نزد بانک ملت بنام شرکت صنعتی و شیمیایی رنگین زره بابت تسویه پ ف 423 خرید استری زینک و تینر بابت لوله های روی زمین واحد cdu پس از کسر ارزش افزوده</t>
  </si>
  <si>
    <t>751349</t>
  </si>
  <si>
    <t>1400/02/07</t>
  </si>
  <si>
    <t>واریزی به حساب 87442172068 نزد بانک ملت بنام شرکت سپهرمولد بابت علی الحساب  ق ADSH-E-CO-GE-008</t>
  </si>
  <si>
    <t>هزینه کارمزد پرینت گردش حساب</t>
  </si>
  <si>
    <t>751350</t>
  </si>
  <si>
    <t>1400/02/13</t>
  </si>
  <si>
    <t xml:space="preserve">حواله ساتنا به حساب IR09  0180  0000  0000  0287  5147  19 نزد بانک تجارت به نام شرکت غرب فلنج  بابت 50% و 60 % پیش پرداخت خرید Flange -CAP-Butt و ...طبق پیش فاکتور 1400-0254M و 1400-0253M پس از کسر ارزش افزوده </t>
  </si>
  <si>
    <t>751351</t>
  </si>
  <si>
    <t>حواله ساتنا به حساب IR55 0170 0000 0010 3020 7700 09 نزد بانک ملی بنام شرکت تولیدی و بازرگانی نیاشیمی بابت پ ف 1400196 خرید نوار سفید و مشکی Pipe , Fiting مورد نیاز یونیت های TNK-INT</t>
  </si>
  <si>
    <t>حواله ساتنا به حساب IR91 0550 0215 8000 2688 5970 01 به نام آقای محسن خستو به شماره ملی 4839597987  بابت شارژ تنخواه دفتر مرکزی سال 1400 شماره 13-12</t>
  </si>
  <si>
    <t>751352</t>
  </si>
  <si>
    <t>حواله ساتنا به حساب IR82 0120 0000 0000 8744 2172 68  نزد بانک ملت بنام شرکت سپهرمولد بابت تامین موجودی ق ADSH-E-CO-GE-008</t>
  </si>
  <si>
    <t>751353</t>
  </si>
  <si>
    <t>حواله ساتنا به حساب IR82 0120 0000 0000 8375 6509 27 نزد بانک ملت بنام شرکت آدیش جنوبی بابت تامین موجودی</t>
  </si>
  <si>
    <t>حواله ساتنا به حساب IR95 0170 0000 0010 6641 5330 06 نزد بانک ملی به نام شرکت بین المللی ساروج بوشهر بابت  پ ف 1400/3/2148 خرید 100 تن سیمان فله تیپ 2 طی درخواست 5631</t>
  </si>
  <si>
    <t>1400/02/18</t>
  </si>
  <si>
    <t>751354</t>
  </si>
  <si>
    <t>751355</t>
  </si>
  <si>
    <t>حواله ساتنا به حساب IR27 0160 0000 0000 0974 3919 93 نزد بانک کشاورزی بنام شرکت هماهنگ بار پارس بابت تسویه صورتحساب ش A22113 و A22114  بابت بارنامه  MILOEX21020098  و MIOLEX21010065   بابت هزینه ترانزیت محموله آخر emt</t>
  </si>
  <si>
    <t>751356</t>
  </si>
  <si>
    <t>حواله ساتنا به حساب IR91 0550 0215 8000 2688 5970 01 به نام آقای محسن خستو به شماره ملی 4839597987  بابت شارژ تنخواه دفتر مرکزی سال 1400 شماره 14الی 16</t>
  </si>
  <si>
    <t>751357</t>
  </si>
  <si>
    <t>751358</t>
  </si>
  <si>
    <t xml:space="preserve">حواله ساتنا به حساب IR14 0550 0216 8500 6110 8610 01 نزد بانک اقتصاد نوین شعبه اقدسیه بنام شرکت توسعه تجارت روبینا بابت هزینه اعلامیه ورود ترخیص گمرکی و تخلیه بارنامه miloex21010065  محموله 3  RMT </t>
  </si>
  <si>
    <t>حواله ساتنا به حساب IR44 0570 0305 1101 3918 2830 01 نزد بانک پاسارگاد بنام شرکت داده پردازی نیک آفرین امروز پارسیان بابت ادوات مورد نیاز جهت نصب و راه اندازی سیستم دوربین مدار بسته ق ADSH-P-CO-GE-013 تامین دوربین های CCTV ساختمان انبار</t>
  </si>
  <si>
    <t>751359</t>
  </si>
  <si>
    <t>1400/02/20</t>
  </si>
  <si>
    <t>حواله ساتنا به حساب IR21 0120 0200 0000 4421 5120 85 نزد بانک ملت به نام شرکت خدمات مسافرت هوایی پرتو پرواز فردا بابت صورتحساب 77</t>
  </si>
  <si>
    <t>751360</t>
  </si>
  <si>
    <t>751361</t>
  </si>
  <si>
    <t xml:space="preserve">حواله ساتنا به حسابIR24 0180 0000 0000 0023 1276 60  نزد بانک تجارت به نام شرکت مهندسین مشاور پی کاو بابت پرداخت کامل صورت وضعیت تائید شده شماره 22  استقرار آزمایشگاه محلی جهت کنترل عملیات خاکی و بتنی طبق قرارداد ش ADISH-E-CO_CV-005 </t>
  </si>
  <si>
    <t>751362</t>
  </si>
  <si>
    <t>751363</t>
  </si>
  <si>
    <t>کارمزد بانکی صورتحساب سال جاری + کارمزد واگذاری چک های عهده سایر بانکها</t>
  </si>
  <si>
    <t>1400/02/15</t>
  </si>
  <si>
    <t>کارمزد صدور پایا</t>
  </si>
  <si>
    <t>1400/02/19</t>
  </si>
  <si>
    <r>
      <rPr>
        <b/>
        <u/>
        <sz val="12"/>
        <color theme="1"/>
        <rFont val="B Nazanin"/>
        <charset val="178"/>
      </rPr>
      <t xml:space="preserve">برگشت چک </t>
    </r>
    <r>
      <rPr>
        <sz val="12"/>
        <color theme="1"/>
        <rFont val="B Nazanin"/>
        <charset val="178"/>
      </rPr>
      <t>حواله ساتنا به حساب IR95 0170 0000 0010 6641 5330 06 نزد بانک ملی به نام شرکت بین المللی ساروج بوشهر بابت  پ ف 1400/3/2148 خرید 100 تن سیمان فله تیپ 2 طی درخواست 5631</t>
    </r>
  </si>
  <si>
    <r>
      <rPr>
        <b/>
        <u/>
        <sz val="12"/>
        <color theme="1"/>
        <rFont val="B Nazanin"/>
        <charset val="178"/>
      </rPr>
      <t>پاس چک</t>
    </r>
    <r>
      <rPr>
        <sz val="12"/>
        <color theme="1"/>
        <rFont val="B Nazanin"/>
        <charset val="178"/>
      </rPr>
      <t xml:space="preserve"> حواله ساتنا به حساب IR95 0170 0000 0010 6641 5330 06 نزد بانک ملی به نام شرکت بین المللی ساروج بوشهر بابت  پ ف 1400/3/2148 خرید 100 تن سیمان فله تیپ 2 طی درخواست 5631</t>
    </r>
  </si>
  <si>
    <r>
      <rPr>
        <b/>
        <u/>
        <sz val="14"/>
        <color theme="1"/>
        <rFont val="B Lotus"/>
        <charset val="178"/>
      </rPr>
      <t>برگشت</t>
    </r>
    <r>
      <rPr>
        <sz val="14"/>
        <color theme="1"/>
        <rFont val="B Lotus"/>
        <charset val="178"/>
      </rPr>
      <t xml:space="preserve"> کارمزد صدور پایا</t>
    </r>
  </si>
  <si>
    <t>1400/02/21</t>
  </si>
  <si>
    <t>ابطال شد</t>
  </si>
  <si>
    <t>حواله ساتنا به حساب IR79 0170 0000 0010 6023 1320 07 نزد بانک ملی بنام شرکت برنا الکترونیک بابت 70% پ ف خرید بالک متریال حفاظت کاتدیک جهت TNK-INT-UTL</t>
  </si>
  <si>
    <t>751364</t>
  </si>
  <si>
    <t>751365</t>
  </si>
  <si>
    <t>واریز به حساب 0013556962  نزد بانک ملت بنام شرکت تولیدی و صنعتی سیم و کابل مغان بابت 50 % پیش فاکتور ش 37236 خرید سیم و کابل جهت  GEN</t>
  </si>
  <si>
    <t>751366</t>
  </si>
  <si>
    <t>حواله ساتنا به حساب IR56 0120 0000 0000 5660 0800 38 نزد بانک ملت بنام آقای وحید نجاری با کد ملی 0072382831 بابت 50 % پیش پرداخت خرید ورق فلزی مخازن طبق پ ف 0030 از آهن اسکندی</t>
  </si>
  <si>
    <t>حواله ساتنا به حساب IR91 0550 0215 8000 2688 5970 01  به نام آقای محسن خستو به شماره ملی 4839597987  بابت شارژ تنخواه دفتر مرکزی (جهت پرداخت قبوض برق ساختمان دوره  99/12  تا تاریخ 1400/01/14 )</t>
  </si>
  <si>
    <t>751367</t>
  </si>
  <si>
    <t>751368</t>
  </si>
  <si>
    <t>حواله ساتنا به حساب IR82 0130 1000 0000 0043 3971 41  نزد بانک رفاه به نام شرکت ترسیم گران اندیشه پویا بابت خرید 1 دستگاه کامپیوتر طی فاکتور 412</t>
  </si>
  <si>
    <t>751369</t>
  </si>
  <si>
    <t>حواله ساتنا به حساب IR54 0150 0000 0159 6301 4207 12 نزد بانک سپه بنام آقای حسینعلی حجاری زاده بابت  اجاره 1400/01/01 تا 1400/02/31 6 دانگ ساختمان اداری پلاک ثبتی فرعی شماره 2693 از پلاک ثبتی اصلی 3381 به مساحت 1210 مترمربع طبق قرارداد 18998249</t>
  </si>
  <si>
    <t>حواله ساتنا به حساب IR45 0180 0000 0000 0356 8064 09 نزد بانک تجارت بنام شرکت سپهرمولد بابت علی الحساب قرارداد  ADSH-E-CO-GE-008</t>
  </si>
  <si>
    <t>751370</t>
  </si>
  <si>
    <t>751371</t>
  </si>
  <si>
    <t>1400/02/22</t>
  </si>
  <si>
    <t>751372</t>
  </si>
  <si>
    <t>751373</t>
  </si>
  <si>
    <t>751374</t>
  </si>
  <si>
    <t>پرداخت حقوق و دستمزد فروردین ماه 1400 کارکنان شرکت پالایش میعانات گازی آدیش جنوبی طبق لیست پیوست (پرسنل گمرک)</t>
  </si>
  <si>
    <t xml:space="preserve">حواله ساتنا به حساب IR95 0170 0000 0010 6641 5330 06 نزد بانک ملی به نام شرکت بین المللی ساروج بوشهر بابت  پ ف 1400/3/2276 خرید 500 تن سیمان فله تیپ 2 طی درخواست 128 </t>
  </si>
  <si>
    <t>واریز به حساب 40878674/10 نزد بانک ملت به نام شرکت سینا کنترل بابت خرید Orifice Plate and Flanges  ق ADSH-P-PO-GE-053</t>
  </si>
  <si>
    <t>حواله ساتنا به حساب IR47 0100 0040 7400 1001 0266 74  نزد بانک ملی شعبه میرداماد کد 64 به نام اداره کل امور مالیاتی-درآمد مستغلات اجاره املاک و شناسه پرداخت  277001039110204000030291742930  جهت پرداخت مالیات اجاره 1400/01/01 تا 1400/02/31 ، واحد 400222 کلاسه 303 (قبض 30291742930)</t>
  </si>
  <si>
    <t>1400/02/25</t>
  </si>
  <si>
    <t>751375</t>
  </si>
  <si>
    <t>751376</t>
  </si>
  <si>
    <t>حواله ساتنا به حساب IR33 0120 0200 0000 3176 8440 50  نزد بانک ملت به نام شرکت بیمه آسیا بابت قسط ششم بیمه تمام خطر سایت طی شماره بیمه نامه25432053/99/01</t>
  </si>
  <si>
    <t>751377</t>
  </si>
  <si>
    <t xml:space="preserve">کارمزد صدور پایا و ساتنا </t>
  </si>
  <si>
    <t>1400/02/26</t>
  </si>
  <si>
    <t xml:space="preserve">حواله ساتنا به حساب IR97 0570 0404 1101 4239 4470 01   نزد بانک پاسارگاد به نام شرکت صنعتی صافیاد بابت صورت وضعیت 2 ق ADSH-P-PO-GE-020 جهت تجهیزات برج خنک کننده </t>
  </si>
  <si>
    <t>751378</t>
  </si>
  <si>
    <t>1400/02/29</t>
  </si>
  <si>
    <t>751379</t>
  </si>
  <si>
    <t>751380</t>
  </si>
  <si>
    <t>حواله ساتنا به حساب IR44 0570 0305 1101 3918 2830 01 نزد بانک پاسارگاد بنام شرکت داده پردازی نیک آفرین امروز پارسیان بابت استرداد جریمه کسر شده و تسویه کامل  ق ADSH-P-CO-GE-013  جهت نصب و راه اندازی سیستم دوربین مدار بسته CCTV ساختمان انبار</t>
  </si>
  <si>
    <t>751381</t>
  </si>
  <si>
    <t xml:space="preserve">حواله ساتنا به حساب IR05 0550 0215 8000 5942 5330 01  بنام آقای حسین سمیعی کیا بابت شرکت هماهنگ بار پارس جهت تسویه صورتحساب ش A21641  بارنامه T210281 هزینه واگذاری ترخیصیه فن ایرکولر فاتح صنعت </t>
  </si>
  <si>
    <t xml:space="preserve">حواله ساتنا به حساب IR09  0180  0000  0000  0287  5147  19 نزد بانک تجارت به نام شرکت غرب فلنج  بابت 30%  پیش پرداخت خرید اتصالات خط لوله 28 و ...  طبق پیش فاکتور 1400-0407M  </t>
  </si>
  <si>
    <t>751382</t>
  </si>
  <si>
    <t>751383</t>
  </si>
  <si>
    <t>751384</t>
  </si>
  <si>
    <t>1400/03/01</t>
  </si>
  <si>
    <t xml:space="preserve">حواله ساتنا به شماره حساب IR66 0570 0337 1101 2325 9130 01  نزد بانک پاسارگاد به نام  شرکت داده پردازان فناوری اطلاعات و ارتباطات جم بابت تسویه فاکتور شماره 952169 خرید هارد جهت IT  </t>
  </si>
  <si>
    <t>حواله ساتنا به حساب IR82 0130 1000 0000 0043 3971 41  نزد بانک رفاه به نام شرکت ترسیم گران اندیشه پویا بابت خرید مانیتور و کیس طی فاکتور 555</t>
  </si>
  <si>
    <t>751385</t>
  </si>
  <si>
    <t>واریز به حساب  5660080038  نزد بانک ملت بنام آقای وحید نجاری با کد ملی 0072382831 بابت پیش پرداخت خرید پروفیل طبق پ ف 0031 از آهن اسکندی جهت TNK</t>
  </si>
  <si>
    <t>751386</t>
  </si>
  <si>
    <t>751387</t>
  </si>
  <si>
    <t>1400/03/02</t>
  </si>
  <si>
    <t>حواله ساتنا به حساب IR38 0550 0215 8500 6381 4040 01 نزد بانک اقتصادنوین بنام شرکت سپهرمولد بابت علی الحساب ق ADSH-E-CO-GE-008</t>
  </si>
  <si>
    <t>751388</t>
  </si>
  <si>
    <t>751389</t>
  </si>
  <si>
    <t>751390</t>
  </si>
  <si>
    <t>751391</t>
  </si>
  <si>
    <t>حواله ساتنا به حساب IR38 0630 2526 0441 6838 0830 01 نزد بانک انصار بنام خانم مرضیه هدایتی بابت تسویه ص و ش 11 ق ADSH-P-CO-GE-014  خرید مصالح شن و ماسه جهت تولید بتن از سیراف بتن جنوب</t>
  </si>
  <si>
    <t>حواله ساتنا به حساب IR82 0130 1000 0000 0043 3971 41  نزد بانک رفاه به نام شرکت ترسیم گران اندیشه پویا بابت خرید مانیتور و کیس و ... طی فاکتور 589</t>
  </si>
  <si>
    <t xml:space="preserve">واریز به حساب 3176844050  نزد بانک ملت به نام شرکت بیمه آسیا بابت افزایش دیه بیمه نامه مسئولیت مدنی  410551037/99/03 الحاقیه ش 2 با شناسه واریز 51037/03 </t>
  </si>
  <si>
    <t>حواله ساتنا به حساب IR91 0550 0215 8000 2688 5970 01 به نام آقای محسن خستو به شماره ملی 4839597987  بابت شارژ تنخواه دفتر مرکزی سال 1400 شماره 20 الی 22</t>
  </si>
  <si>
    <t>751392</t>
  </si>
  <si>
    <t>751393</t>
  </si>
  <si>
    <t>1400/03/03</t>
  </si>
  <si>
    <t>حواله ساتنا به حساب IR09 0180 0000 0000 0352 5514 73 نزد بانک تجارت به نام ریخته گری برناگداز بابت تسویه فاکتور 36 خرید آند ها طبق ق ADSH-P-CO-EL-002 جهت سیستم حفاظت کاتدیک</t>
  </si>
  <si>
    <t>751394</t>
  </si>
  <si>
    <t>واریز به حساب شماره IR66  0550  1202  8500  6584  5560  01 نزد بانک اقتصادنوین بنام شرکت صنعتی و ساختمانی آیلار صنعت سبلان بابت تسویه ف 13 خرید 23740  کیلو گرم میلگرد آجدار 32  جهت UTL</t>
  </si>
  <si>
    <t>حواله ساتنا به حساب IR91 0550 0215 8000 2688 5970 01 به نام آقای محسن خستو به شماره ملی 4839597987  بابت شارژ تنخواه دفتر مرکزی سال 1400 شماره 23 الی 26</t>
  </si>
  <si>
    <t>751395</t>
  </si>
  <si>
    <t>1400/03/08</t>
  </si>
  <si>
    <t>952531</t>
  </si>
  <si>
    <t>1400/03/17</t>
  </si>
  <si>
    <t>واریز به حساب شماره 8744217268   نزد بانک ملت بنام شرکت سپهرمولد بابت تامین موجودی ق ADSH-E-CO-GE-008</t>
  </si>
  <si>
    <t>Column1</t>
  </si>
  <si>
    <t>5881000033874276</t>
  </si>
  <si>
    <t xml:space="preserve">هزینه کارمزد سرویس بانکداری اینترنتی+صدور پایا و ساتنا </t>
  </si>
  <si>
    <t>1400/03/04</t>
  </si>
  <si>
    <t>1400/03/09</t>
  </si>
  <si>
    <t>1400/03/11</t>
  </si>
  <si>
    <t>کارمزد صدور دسته چک 50 برگی</t>
  </si>
  <si>
    <t xml:space="preserve">واریزی از شرکت فولاد مبارکه </t>
  </si>
  <si>
    <t>هزینه کارمزد صدور گردش حساب</t>
  </si>
  <si>
    <t>1400/03/19</t>
  </si>
  <si>
    <t>952532</t>
  </si>
  <si>
    <t>952533</t>
  </si>
  <si>
    <t>952534</t>
  </si>
  <si>
    <t>952535</t>
  </si>
  <si>
    <t>952536</t>
  </si>
  <si>
    <t>4843000033874277</t>
  </si>
  <si>
    <t>واریز به حساب شماره 5660080038  نزد بانک ملت بنام آقای وحید نجاری با کد ملی 0072382831 بابت خرید پروفین  مخازن طبق ف 0051 از آهن اسکندری</t>
  </si>
  <si>
    <t>2059000033874278</t>
  </si>
  <si>
    <t>3677000033874279</t>
  </si>
  <si>
    <t xml:space="preserve">واریز به حساب  4794782651  نزد بانک ملت شعبه پیچ شمیران به نام شرکت مهندسی پاژ پرداز سامانه طبق ف 1387 خرید سوئیچ شبکه </t>
  </si>
  <si>
    <t>2178000033874280</t>
  </si>
  <si>
    <t xml:space="preserve">حواله ساتنا به حساب IR27 0180 0000 0000 0353 0509 90   نزد بانک تجارت بنام شرکت صنعتی آما بابت خرید الکترود طبق فاکتور  318103 مورخ 1400/03/12-درخواست ME-032  </t>
  </si>
  <si>
    <t>1356000033874281</t>
  </si>
  <si>
    <t>واریز به حساب 13342874/79 نزد بانک ملت بنام شرکت صنعتی و شیمیایی رنگین زره بابت تسویه  ف 4894 خرید کولتار اپوکسی جهت TNK</t>
  </si>
  <si>
    <t>حواله ساتنا به حساب IR66  0550  1202  8500  6584  5560  01 نزد بانک اقتصادنوین بنام شرکت صنعتی و ساختمانی آیلار صنعت سبلان بابت تسویه ف 14-15-16 خرید میلگرد جهت TNK</t>
  </si>
  <si>
    <t>حواله ساتنا به حساب IR91 0550 0215 8000 2688 5970 01  به نام آقای محسن خستو به شماره ملی 4839597987  بابت شارژ تنخواه دفتر مرکزی سال 1400 شماره 33 الی 34</t>
  </si>
  <si>
    <t>952537</t>
  </si>
  <si>
    <t>1400/03/23</t>
  </si>
  <si>
    <t>1517000033874282</t>
  </si>
  <si>
    <t>952538</t>
  </si>
  <si>
    <t>3886000033874283</t>
  </si>
  <si>
    <t>حواله ساتنا به حساب IR55 0170 0000 0010 3020 7700 09 نزد بانک ملی بنام شرکت تولیدی و بازرگانی نیاشیمی بابت VAT پ ف 1400196 خرید نوار سفید و مشکی Pipe , Fiting مورد نیاز یونیت های TNK</t>
  </si>
  <si>
    <t>952539</t>
  </si>
  <si>
    <t>952540</t>
  </si>
  <si>
    <t>6090000033874284</t>
  </si>
  <si>
    <t>واریز به حساب 5660080038  نزد بانک ملت بنام آقای وحید نجاری با کد ملی 0072382831 بابت تسویه خرید ورق اکسسوری مخازن طبق صورتحساب 0053 از آهن اسکندری جهت TNK</t>
  </si>
  <si>
    <t>4582000033874285</t>
  </si>
  <si>
    <t xml:space="preserve">حواله ساتنا به حسابIR24 0180 0000 0000 0023 1276 60  نزد بانک تجارت به نام شرکت مهندسین مشاور پی کاو بابت پرداخت کامل صورت وضعیت تائید شده شماره 23  استقرار آزمایشگاه محلی جهت کنترل عملیات خاکی و بتنی طبق قرارداد ش ADISH-E-CO_CV-005 </t>
  </si>
  <si>
    <t>Column2</t>
  </si>
  <si>
    <t>4115000033874286</t>
  </si>
  <si>
    <t>952541</t>
  </si>
  <si>
    <t>واریز  به حساب   IR36 0100 0040 0104 5104 0014 13 نزد بانک مرکزی به نام سازمان منطقه ویژه اقتصادی انرژی پارس بابت هزینه تعرفه خدمات عمومی سال 1399 طبق لیست پیوست (شناسه پرداخت 287045174220000002280000020935)</t>
  </si>
  <si>
    <t>پرداخت حقوق و دستمزد اردیبهشت ماه 1400 کارکنان شرکت پالایش میعانات گازی آدیش جنوبی طبق لیست پیوست (پرسنل گمرک)</t>
  </si>
  <si>
    <t>952542</t>
  </si>
  <si>
    <t>1400/03/25</t>
  </si>
  <si>
    <t>2229000033874287</t>
  </si>
  <si>
    <t>952543</t>
  </si>
  <si>
    <t>4110000033874288</t>
  </si>
  <si>
    <t>واریز به حساب  3176844050  نزد بانک ملت به نام شرکت بیمه آسیا بابت قسط هفتم بیمه تمام خطر سایت طی شماره بیمه نامه25432053/99/01</t>
  </si>
  <si>
    <t xml:space="preserve">ابطال شد </t>
  </si>
  <si>
    <t>952544</t>
  </si>
  <si>
    <t>5790000033874289</t>
  </si>
  <si>
    <t>حواله ساتنا به حساب IR38 0630 2526 0441 6838 0830 01 نزد بانک انصار بنام خانم مرضیه هدایتی بابت تسویه ص و ش 12 ق ADSH-P-CO-GE-014  خرید مصالح شن و ماسه جهت تولید بتن از سیراف بتن جنوب</t>
  </si>
  <si>
    <t>6190000033874290</t>
  </si>
  <si>
    <t>952545</t>
  </si>
  <si>
    <t>952546</t>
  </si>
  <si>
    <t>952547</t>
  </si>
  <si>
    <t>952548</t>
  </si>
  <si>
    <t>952549</t>
  </si>
  <si>
    <t xml:space="preserve">حواله ساتنا به حساب IR73 0170 0000 0011 1371 6220 02  نزد بانک ملی به نام شرکت کاریز هیدرو سازه گیل بابت تسویه فاکتور 2295 خرید ابر روان کننده و کاهنده آب بتن </t>
  </si>
  <si>
    <t>5178000033874291</t>
  </si>
  <si>
    <t>8001000033874292</t>
  </si>
  <si>
    <t xml:space="preserve"> واریز به حساب 9549868158  نزد بانک تجارت بنام آقای جواد حسن پور بابت تسویه فاکتور 1400/47/230 خرید بتن آماده جهت TNK شرکت پرنیان پی سیراف </t>
  </si>
  <si>
    <t>واریز به حساب شماره IR66  0550  1202  8500  6584  5560  01 نزد بانک اقتصادنوین بنام شرکت صنعتی و ساختمانی آیلار صنعت سبلان بابت تسویه ف 17 خرید 23170  کیلو گرم میلگرد جهت TNK</t>
  </si>
  <si>
    <t>4019000033874293</t>
  </si>
  <si>
    <t xml:space="preserve">حواله ساتنا به حساب IR46 0550 0155 8000 3841 6720 01  به نام مجتبی زرافشانی بابت مساعده و بازپرداخت دو ماهه طبق دستور پیوست </t>
  </si>
  <si>
    <t>2941000033874294</t>
  </si>
  <si>
    <t>952550</t>
  </si>
  <si>
    <t>4105000033874295</t>
  </si>
  <si>
    <t>حواله ساتنا به حساب IR43 0170 0000 0011 2500 6940 06 نزد بانک ملی بنام شرکت پترو تجهیز آسا آتیه بابت  پیش پرداخت خرید Ball valve</t>
  </si>
  <si>
    <t>حواله ساتنا به حساب IR91 0550 0215 8000 2688 5970 01  به نام آقای محسن خستو به شماره ملی 4839597987  بابت علی الحساب شارژ تنخواه دفتر مرکزی سال 1400</t>
  </si>
  <si>
    <t>952551</t>
  </si>
  <si>
    <t>3655000033874296</t>
  </si>
  <si>
    <t>1400/03/29</t>
  </si>
  <si>
    <t>952552</t>
  </si>
  <si>
    <t>952553</t>
  </si>
  <si>
    <t>952554</t>
  </si>
  <si>
    <t>952555</t>
  </si>
  <si>
    <t>952556</t>
  </si>
  <si>
    <t>حواله ساتنا به حساب IR21 0120 0200 0000 4421 5120 85 نزد بانک ملت به نام شرکت خدمات مسافرت هوایی پرتو پرواز فردا بابت صورتحساب 81</t>
  </si>
  <si>
    <t>حواله ساتنا به حساب IR23 0180 0000 0000 0012 9212 41 نزد بانک تجارت بنام نیکان تک ایرانیان بابت علی الحساب پیش پرداخت خرید  Pipe  طبق پیش ف 26660</t>
  </si>
  <si>
    <t>حواله ساتنا به حساب IR23 0180 0000 0000 0012 9212 41 نزد بانک تجارت بنام نیکان تک ایرانیان بابت پیش پرداخت خرید Fitting و Flange  اکسسوری مخازن طبق پیش ف 26657 جهت TNK</t>
  </si>
  <si>
    <t xml:space="preserve">حواله ساتنا به حساب IR23 0180 0000 0000 0012 9212 41 نزد بانک تجارت بنام نیکان تک ایرانیان بابت علی الحساب پیش پرداخت خرید پروفیل پایپ اکسسوری مخازن طبق پیش ف 26659 </t>
  </si>
  <si>
    <t>حواله ساتنا به حساب IR23 0180 0000 0000 0012 9212 41 نزد بانک تجارت بنام نیکان تک ایرانیان بابت علی الحساب پیش پرداخت خرید  Pipe  طبق پیش ف 26658</t>
  </si>
  <si>
    <t>5551000033874297</t>
  </si>
  <si>
    <t>3586000033874298</t>
  </si>
  <si>
    <t>7896000033874299</t>
  </si>
  <si>
    <t>5301000033874300</t>
  </si>
  <si>
    <t>4872000033874301</t>
  </si>
  <si>
    <t xml:space="preserve">واریز به حساب  5089544823  نزد بانک ملت به نام آقای حسین سزایی بابت خرید پرینتر چاپ چک pb2 از ماشین های اداری کارا مینیاتور طی پیش ف 3735 </t>
  </si>
  <si>
    <t>9245000033874302</t>
  </si>
  <si>
    <t>952557</t>
  </si>
  <si>
    <t>1400/03/20</t>
  </si>
  <si>
    <t>1400/03/24</t>
  </si>
  <si>
    <t>1400/03/26</t>
  </si>
  <si>
    <t>952558</t>
  </si>
  <si>
    <t>952559</t>
  </si>
  <si>
    <t>حواله ساتنا به حساب IR91 0550 0215 8000 2688 5970 01 به نام آقای محسن خستو به شماره ملی 4839597987  بابت شارژ تنخواه دفتر مرکزی سال 1400 تا پایان اسناد ش 40</t>
  </si>
  <si>
    <t>2294000033874304</t>
  </si>
  <si>
    <t>952560</t>
  </si>
  <si>
    <t>8917000033874305</t>
  </si>
  <si>
    <t>واریز به  حساب 0140463417 نزد بانک ملت بنام شرکت پولاد پیچ کار بابت پیش پرداخت خرید انکر بولت پس از کسر 9% VAT</t>
  </si>
  <si>
    <t xml:space="preserve">حواله ساتنا به حساب IR95 0170 0000 0010 6641 5330 06 نزد بانک ملی به نام شرکت بین المللی ساروج بوشهر بابت پ ف 1400/3/4276 خرید 200 تن سیمان فله تیپ 2 طی درخواست 137 </t>
  </si>
  <si>
    <t>952561</t>
  </si>
  <si>
    <t>1400/03/30</t>
  </si>
  <si>
    <t>7285000033874306</t>
  </si>
  <si>
    <r>
      <rPr>
        <b/>
        <u/>
        <sz val="12"/>
        <color theme="1"/>
        <rFont val="B Nazanin"/>
        <charset val="178"/>
      </rPr>
      <t>برگشت</t>
    </r>
    <r>
      <rPr>
        <sz val="12"/>
        <color theme="1"/>
        <rFont val="B Nazanin"/>
        <charset val="178"/>
      </rPr>
      <t xml:space="preserve"> حواله ساتنا به حساب IR95 0170 0000 0010 6641 5330 06 نزد بانک ملی به نام شرکت بین المللی ساروج بوشهر بابت پ ف 1400/3/4276 خرید 200 تن سیمان فله تیپ 2 طی درخواست 137 </t>
    </r>
  </si>
  <si>
    <t>952562</t>
  </si>
  <si>
    <t>1400/03/31</t>
  </si>
  <si>
    <t>8026000033874307</t>
  </si>
  <si>
    <t xml:space="preserve">کارمزد صدور ساتنا و پایا </t>
  </si>
  <si>
    <t>برگشت کارمزد صدور ساتنا</t>
  </si>
  <si>
    <t>1400/04/05</t>
  </si>
  <si>
    <t>952563</t>
  </si>
  <si>
    <t>952564</t>
  </si>
  <si>
    <t>952565</t>
  </si>
  <si>
    <t>4430000033874308</t>
  </si>
  <si>
    <t>6789000033874309</t>
  </si>
  <si>
    <t>4566000033874310</t>
  </si>
  <si>
    <t>واریز  به حساب   IR36 0100 0040 0104 5104 0014 13 نزد بانک مرکزی به نام سازمان منطقه ویژه اقتصادی انرژی پارس بابت مابه التفاوت هزینه تعرفه خدمات عمومی سال 1399 طبق لیست پیوست (شناسه پرداخت 216045174220000002280000021525 )</t>
  </si>
  <si>
    <t>حواله ساتنا به حساب IR 85 0180 0000 0000 3308 5655 47 نزد بانک تجارت بابت آقای محمدرسول اسماعیلی به کد ملی 0060912707 بابت تسویه ف 2215-2216 خرید میز و فایل و ... از مبلمان اداری امیران</t>
  </si>
  <si>
    <t xml:space="preserve">حواله ساتنا به حساب  IR74 0100 0040 7300 1001 0266 26 نزد بانک ملی شعبه میرداماد کد 64  بنام سازمان امور مالیاتی بوشهر جهت حق تمبر افزایش سرمایه شرکت پالایش میعانات گازی آدیش جنوبی از (470 به 550 میلیارد ریال ) واحد مالیاتی 881521 (شماره قبض 30647553248) </t>
  </si>
  <si>
    <t>حواله ساتنا به حساب IR82  0190  0000  0010  0109  4790  01 نزد بانک صادرات به نام شرکت آزمون پرتوی غرب بابت تسویه پ ف 40140 خرید اتصال عایقی</t>
  </si>
  <si>
    <t>952566</t>
  </si>
  <si>
    <t>952567</t>
  </si>
  <si>
    <t>952568</t>
  </si>
  <si>
    <t>7343000033874311</t>
  </si>
  <si>
    <t xml:space="preserve">حواله ساتنا به حساب IR88 0180 0000 0000 0009 7203 32  نزد بانک تجارت بنام آقای بهمن هوشمند بابت پیش پرداخت ف 621  خرید پیچ و مهره جهت  شرکت سهند فولاد </t>
  </si>
  <si>
    <t>6932000033874312</t>
  </si>
  <si>
    <t>9498000033874313</t>
  </si>
  <si>
    <t>واریز به حساب شماره IR66  0550  1202  8500  6584  5560  01 نزد بانک اقتصادنوین بنام شرکت صنعتی و ساختمانی آیلار صنعت سبلان بابت تسویه ف 18 خرید میلگرد جهت TNK</t>
  </si>
  <si>
    <t>952569</t>
  </si>
  <si>
    <t>4016000033874314</t>
  </si>
  <si>
    <t>حواله ساتنا به حساب IR26 0160 0000 0000 0981 3039 40 نزد بانک کشاورزی بنام شرکت هماهنگ بار پارس بابت تسویه صورتحساب  A22666  بابت بارنامه ش  02.04.2021  هزینه ترانزیت محموله لوله های  UG Pipe دقیق سازان</t>
  </si>
  <si>
    <t>1400/04/02</t>
  </si>
  <si>
    <t>1400/04/01</t>
  </si>
  <si>
    <t>952570</t>
  </si>
  <si>
    <t>1684000033874315</t>
  </si>
  <si>
    <t>1400/04/06</t>
  </si>
  <si>
    <t>واریز  به حساب   IR36 0100 0040 0104 5104 0014 13 نزد بانک مرکزی به نام سازمان منطقه ویژه اقتصادی انرژی پارس بابت هزینه تعرفه خدمات عمومی سال 1400 طبق صورتحساب پیوست مورخ 1400/04/02 ( شناسه پرداخت 269045174220000002280000021524 )</t>
  </si>
  <si>
    <t>حواله ساتنا به حساب IR91 0550 0215 8000 2688 5970 01 به نام آقای محسن خستو به شماره ملی 4839597987  بابت شارژ تنخواه دفتر مرکزی سال 1400 تا پایان اسناد ش 46</t>
  </si>
  <si>
    <t>952571</t>
  </si>
  <si>
    <t>1400/04/07</t>
  </si>
  <si>
    <t>7272000033874316</t>
  </si>
  <si>
    <t>952572</t>
  </si>
  <si>
    <t>1400/04/08</t>
  </si>
  <si>
    <t>8130000033874317</t>
  </si>
  <si>
    <t xml:space="preserve">واریز به حساب IR 6401 8000 0000 0002 3511 7142 به نام رستم فرودیان به کد ملی 0036649368 بابت فاکتور مورخ 1400/03/30 خرید تونر فتوکپی از خدمات ماشین های اداری رامتین </t>
  </si>
  <si>
    <t>952573</t>
  </si>
  <si>
    <t>952574</t>
  </si>
  <si>
    <t>952575</t>
  </si>
  <si>
    <t>952576</t>
  </si>
  <si>
    <t>9690000033874318</t>
  </si>
  <si>
    <t>1067000033874319</t>
  </si>
  <si>
    <t>2407000033874320</t>
  </si>
  <si>
    <t>2807000033874321</t>
  </si>
  <si>
    <t>واریز به حساب  4421512085 نزد بانک ملت به نام شرکت خدمات مسافرت هوایی پرتو پرواز فردا بابت صورتحساب 82</t>
  </si>
  <si>
    <t>حواله ساتنا به حساب IR23 0180 0000 0000 0012 9212 41  نزد بانک تجارت بنام نیکان تک ایرانیان بابت خرید Pipe طبق پیش ف 26658</t>
  </si>
  <si>
    <t>حواله ساتنا به حساب IR23 0180 0000 0000 0012 9212 41 نزد بانک تجارت بنام نیکان تک ایرانیان بابت خرید Flange های پایپ طبق پیش ف 26808 جهت CDU</t>
  </si>
  <si>
    <t>حواله ساتنا به حساب IR43 0170 0000 0011 2500 6940 06 نزد بانک ملی بنام شرکت پترو تجهیز آسا آتیه بابت تسویه صورتحساب ش 564 خرید Ball valve جهت خط لوله 28</t>
  </si>
  <si>
    <t>1400/04/09</t>
  </si>
  <si>
    <t>هزینه کارمزد پایا</t>
  </si>
  <si>
    <t>1400/04/13</t>
  </si>
  <si>
    <t>9172000033874322</t>
  </si>
  <si>
    <t xml:space="preserve">واریز به حساب  4794782651  نزد بانک ملت شعبه پیچ شمیران به نام شرکت مهندسی پاژ پرداز سامانه طبق ف 1406 خرید سوئیچ شبکه </t>
  </si>
  <si>
    <t>952577</t>
  </si>
  <si>
    <t>9819000033874323</t>
  </si>
  <si>
    <t>952578</t>
  </si>
  <si>
    <t>حواله ساتنا به حساب IR08 0170 0000 0010 6807 7170 09 نزد بانک ملی بنام کانون کارشناسان رسمی دادگستری استان بوشهر بابت هزینه کارشناسی طبق نامه ش 29500</t>
  </si>
  <si>
    <t>1400/04/14</t>
  </si>
  <si>
    <t>952579</t>
  </si>
  <si>
    <t>952580</t>
  </si>
  <si>
    <t>7000000033874324</t>
  </si>
  <si>
    <t>5508000033874325</t>
  </si>
  <si>
    <t>حواله ساتنا به حساب IR09  0180  0000  0000  0287  5147  19 نزد بانک تجارت به نام شرکت غرب فلنج  بابت تسویه ف 2951 خرید Fitting های مخازن جهت TNK</t>
  </si>
  <si>
    <t xml:space="preserve">واریز به حساب 0013556962  نزد بانک ملت بنام شرکت تولیدی و صنعتی سیم و کابل مغان بابت تسویه پیش فاکتور ش 37236 -36796 خرید کابل جهت  GEN </t>
  </si>
  <si>
    <t>9295000049536831</t>
  </si>
  <si>
    <t xml:space="preserve">حواله ساتنا به حساب IR82 0130 1000 0000 0043 3971 41  نزد بانک رفاه به نام شرکت ترسیم گران اندیشه پویا بابت خرید تجهیزات کامپیوتر طی فاکتور 1005-1006 </t>
  </si>
  <si>
    <t>133776</t>
  </si>
  <si>
    <t>3350000049536832</t>
  </si>
  <si>
    <t>133777</t>
  </si>
  <si>
    <t xml:space="preserve">حواله ساتنا به حساب  IR48 0180 0000 0000 0083 4920 74 نزد بانک تجارت شعبه توانیر کد 832 به نام شرکت لوید آلمان کیش بابت تسویه ص و ش 0456-21 و 0365-21 از ق ADSH-E-CO-GE-006 خدمات مشاوره کنترل کیفیت و بازرسی فنی شخص ثالث </t>
  </si>
  <si>
    <t>133778</t>
  </si>
  <si>
    <t>8475000049536833</t>
  </si>
  <si>
    <t xml:space="preserve">حواله ساتنا به حساب IR26 0180 0000 0000 2073 0476 36  نزد بانک تجارت به نام شرکت ساخت تجهیزات برقی لنا یزد بابت پیش پرداخت نقشه کشی مهندسی ،تامین مواد اولیه تابلوهای فشار قوی </t>
  </si>
  <si>
    <t>1400/04/12</t>
  </si>
  <si>
    <t>کارمزد صدور ساتنا + کارمزد صدور دسته چک 50 برگی</t>
  </si>
  <si>
    <t>4262000049536834</t>
  </si>
  <si>
    <t>133779</t>
  </si>
  <si>
    <t>حواله ساتنا به حساب IR82 0130 1000 0000 0043 3971 41  نزد بانک رفاه به نام شرکت ترسیم گران اندیشه پویا بابت خرید سیستم کامپیوتر و مانیتور طی فاکتور 1072 جهت سایت پرسنل فنی</t>
  </si>
  <si>
    <t xml:space="preserve">حواله ساتنا به حساب IR60  0120  0200  0000  1714  4834  95 نزد بانک ملت به نام آقای عباس رحیمی بابت تسویه فاکتور به شماره های 405-225-226 جهت خرید 3 عدد تجهیزات تلفن از ارتباط نوین </t>
  </si>
  <si>
    <t>133780</t>
  </si>
  <si>
    <t>133781</t>
  </si>
  <si>
    <t>3378000049536835</t>
  </si>
  <si>
    <t>133782</t>
  </si>
  <si>
    <t>5565000049536836</t>
  </si>
  <si>
    <t>1030000049536837</t>
  </si>
  <si>
    <t xml:space="preserve">حواله ساتنا به حسابIR24 0180 0000 0000 0023 1276 60  نزد بانک تجارت به نام شرکت مهندسین مشاور پی کاو بابت پرداخت کامل صورت وضعیت تائید شده شماره 24 استقرار آزمایشگاه محلی جهت کنترل عملیات خاکی و بتنی طبق قرارداد ش ADISH-E-CO_CV-005 </t>
  </si>
  <si>
    <t>حواله ساتنا به حسابIR14 0630 1827 0631 6717 7170 01 نزد بانک انصار بنام شرکت دقیق سازان آراز بابت پیش ف 01-1184 و 03-1182 خرید ELBOW و لوله های پایپ رک جهت CDU</t>
  </si>
  <si>
    <t>133783</t>
  </si>
  <si>
    <t>حواله ساتنا به حساب IR91 0550 0215 8000 2688 5970 01 به نام آقای محسن خستو به شماره ملی 4839597987 بابت شارژ تنخواه دفتر مرکزی سال 1400 تا پایان اسناد ش 51</t>
  </si>
  <si>
    <t>3861000049536838</t>
  </si>
  <si>
    <t>133784</t>
  </si>
  <si>
    <t>1400/04/15</t>
  </si>
  <si>
    <t>3164000049536839</t>
  </si>
  <si>
    <t xml:space="preserve">حواله ساتنا به حساب IR46 0180 0000 0000 0790 0742 54  نزد بانک تجارت شعبه شهید رجائی بنام شرکت مهندسی مشاوران شیراز انرژی بابت تسویه ص و ش 1و2 پس از کسر پیش پرداخت ق ADSH-E-CO-GE-009  مطالعات طرح اتصال به شبکه نیروگاه گازی </t>
  </si>
  <si>
    <t>133785</t>
  </si>
  <si>
    <t>5995000049536840</t>
  </si>
  <si>
    <t>حواله ساتنا به حساب IR38 0630 2526 0441 6838 0830 01 نزد بانک انصار بنام خانم مرضیه هدایتی بابت تسویه ص و ش 13 ق ADSH-P-CO-GE-014  خرید مصالح شن و ماسه جهت تولید بتن از سیراف بتن جنوب</t>
  </si>
  <si>
    <t>133786</t>
  </si>
  <si>
    <t>2413000049536841</t>
  </si>
  <si>
    <t>حواله ساتنا به حساب IR08 0180 0000 0000 9547 5013 97  نزد بانک تجارت بنام آقای محمد بحرانی بابت تسویه ماسه بادی طبق صورتحساب ش 5 و 105 پیمانکاری حمل ماسه بادی بحرانی</t>
  </si>
  <si>
    <t xml:space="preserve">واریز به حساب 0013556962  نزد بانک ملت بنام شرکت تولیدی و صنعتی سیم و کابل مغان بابت تسویه پیش فاکتور ش 36907 خرید کابل جهت  s35-s55 </t>
  </si>
  <si>
    <t>1400/04/16</t>
  </si>
  <si>
    <t>133787</t>
  </si>
  <si>
    <t>133788</t>
  </si>
  <si>
    <t>2593000049536842</t>
  </si>
  <si>
    <t>6601000049536843</t>
  </si>
  <si>
    <t>حواله ساتنا به حساب IR09  0180  0000  0000  0287  5147  19 نزد بانک تجارت به نام شرکت غرب فلنج  بابت تسویه ف 2964 خرید Flange جهت TNK</t>
  </si>
  <si>
    <t>133789</t>
  </si>
  <si>
    <t>2399000049536844</t>
  </si>
  <si>
    <t>حواله ساتنا به حساب IR91 0550 0215 8000 2688 5970 01 به نام آقای محسن خستو به شماره ملی 4839597987  بابت شارژ تنخواه دفتر مرکزی سال 1400 شماره 52-57</t>
  </si>
  <si>
    <t>133790</t>
  </si>
  <si>
    <t>2240000049536845</t>
  </si>
  <si>
    <t>حواله ساتنا به حساب IR22 0180 0000 0000 2311 0829 92 نزد بانک تجارت بنام شرکت خبرگان بین المللی تهران بابت تسویه ف مورخ 1400/04/07 جهت بازرسی میکسر تهران جوان</t>
  </si>
  <si>
    <t>133791</t>
  </si>
  <si>
    <t>133792</t>
  </si>
  <si>
    <t>4783000049536846</t>
  </si>
  <si>
    <t>7216000049536847</t>
  </si>
  <si>
    <t>حواله ساتنا به حساب IR88 0570 0326 8601 1556 6101 01 نزد بانک پاسارگاد شعبه قائم مقام فراهانی کد 326 بنام شرکت حمل و نقل بین المللی توشه بر بابت هزینه سپرده نقدی کانتینر بارنامه ش ILJEABND210616298  بابت محموله مربوط به لوله های 28 اینچی خط خوراک</t>
  </si>
  <si>
    <t>حواله ساتنا به حساب IR88 0570 0326 8601 1556 6101 01 نزد بانک پاسارگاد شعبه قائم مقام فراهانی کد 326 بنام شرکت حمل و نقل بین المللی توشه بر بابت هزینه ترخیصیه کانتینر بارنامه ش ILJEABND210616298  بابت محموله مربوط به لوله های 28 اینچی خط خوراک</t>
  </si>
  <si>
    <t>حواله ساتنا به حساب IR08 0180 0000 0000 9547 5013 97  نزد بانک تجارت بنام آقای محمد بحرانی بابت تسویه ماسه بادی طبق صورتحساب ش 104 پیمانکاری حمل ماسه بادی بحرانی</t>
  </si>
  <si>
    <t>1400/04/19</t>
  </si>
  <si>
    <t>133793</t>
  </si>
  <si>
    <t>7377000049536848</t>
  </si>
  <si>
    <t xml:space="preserve">حواله ساتنا به حساب IR12 0190 0000 0011 5933 2310 08   نزد بانک صادرات بنام آقای محسن صفری جهت هزینه مطالبه نامه محموله لوله های AG  دقیق سازان </t>
  </si>
  <si>
    <t>133794</t>
  </si>
  <si>
    <t>5545000049536849</t>
  </si>
  <si>
    <t>1400/04/20</t>
  </si>
  <si>
    <t>133795</t>
  </si>
  <si>
    <t>133796</t>
  </si>
  <si>
    <t>6010000049536850</t>
  </si>
  <si>
    <t xml:space="preserve">واریز به حساب 0152560963  نزد بانک ملت به نام شرکت دنیای پردازش بابت پ فاکتور شماره 57747/1 مورخ 1400/04/01 بابت تمدید پشتیبانی نرم افزار حضور و غیاب و گردش کار به مدت یکسال </t>
  </si>
  <si>
    <t>4980000049536851</t>
  </si>
  <si>
    <t>حواله ساتنا به حساب IR54 0150 0000 0159 6301 4207 12 نزد بانک سپه بنام آقای حسینعلی حجاری زاده بابت  اجاره 1400/03/01 تا 1400/04/31 6 دانگ ساختمان اداری پلاک ثبتی فرعی شماره 2693 از پلاک ثبتی اصلی 3381 به مساحت 1210 مترمربع طبق قرارداد 18998249</t>
  </si>
  <si>
    <t>133797</t>
  </si>
  <si>
    <t>1400/04/21</t>
  </si>
  <si>
    <t>7700000049536852</t>
  </si>
  <si>
    <t>واریز به حساب  4421512085 نزد بانک ملت به نام شرکت خدمات مسافرت هوایی پرتو پرواز فردا بابت صورتحساب 83</t>
  </si>
  <si>
    <t>133798</t>
  </si>
  <si>
    <t>6276000049536853</t>
  </si>
  <si>
    <t>حواله ساتنا به حساب IR91 0550 0215 8000 2688 5970 01 به نام آقای محسن خستو به شماره ملی 4839597987  بابت شارژ تنخواه دفتر مرکزی سال 1400 شماره 58.59.60</t>
  </si>
  <si>
    <t>حواله ساتنا به حساب IR47 0100 0040 7400 1001 0266 74  نزد بانک ملی شعبه میرداماد کد 64 به نام اداره کل امور مالیاتی-درآمد مستغلات اجاره املاک و شناسه پرداخت  269001039110204000030778532955  جهت پرداخت مالیات اجاره 1400/03/01 تا 1400/04/31 ، واحد 400222 کلاسه 303 (قبض 30778532955)</t>
  </si>
  <si>
    <t>133799</t>
  </si>
  <si>
    <t>1400/04/22</t>
  </si>
  <si>
    <t>1289000049536854</t>
  </si>
  <si>
    <r>
      <rPr>
        <b/>
        <u/>
        <sz val="12"/>
        <color theme="1"/>
        <rFont val="B Nazanin"/>
        <charset val="178"/>
      </rPr>
      <t>برگشت به حساب</t>
    </r>
    <r>
      <rPr>
        <sz val="12"/>
        <color theme="1"/>
        <rFont val="B Nazanin"/>
        <charset val="178"/>
      </rPr>
      <t xml:space="preserve"> حواله ساتنا به حساب IR46 0180 0000 0000 0790 0742 54  نزد بانک تجارت شعبه شهید رجائی بنام شرکت مهندسی مشاوران شیراز انرژی بابت تسویه ص و ش 1و2 پس از کسر پیش پرداخت ق ADSH-E-CO-GE-009  مطالعات طرح اتصال به شبکه نیروگاه گازی </t>
    </r>
  </si>
  <si>
    <t>1400/04/17</t>
  </si>
  <si>
    <t>برگشت کارمزد صدور پایا</t>
  </si>
  <si>
    <t>133800</t>
  </si>
  <si>
    <t>8450000049536855</t>
  </si>
  <si>
    <t>حواله ساتنا به شماره IR21 0170 0000 0010 0765 8670 08  بنام شرکت آماک کوشا بابت تسویه پ ف FR-151-194-N بابت خرید ups10kva و باتری جهت دفتر مرکزی</t>
  </si>
  <si>
    <t>1400/04/23</t>
  </si>
  <si>
    <t>133801</t>
  </si>
  <si>
    <t>7400000049536856</t>
  </si>
  <si>
    <t>پرداخت حقوق و دستمزد  خرداد ماه 1400 کارکنان شرکت پالایش میعانات گازی آدیش جنوبی طبق لیست پیوست (پرسنل گمرک)</t>
  </si>
  <si>
    <t>کارمزد صدور ساتنا + پایا</t>
  </si>
  <si>
    <t xml:space="preserve">کارمزد صدور پایا +ساتنا </t>
  </si>
  <si>
    <t>(اشتباه بانک واریز به ملت سپهر )</t>
  </si>
  <si>
    <t>حواله ساتنا به حساب IR74 0100 0040 7300 1001 0266 26  نزد بانک ملی بنام سازمان امور مالیاتی و شناسه پرداخت  290001073110202000030797744877  جهت پرداخت مالیات حقوق خرداد 1400 واحد مالیاتی 881521 (شماره قبض 30797744877 )</t>
  </si>
  <si>
    <t>1400/04/27</t>
  </si>
  <si>
    <t>8473000049536857</t>
  </si>
  <si>
    <t>133802</t>
  </si>
  <si>
    <t>حواله ساتنا به حساب IR74 0100 0040 7300 1001 0266 26  نزد بانک ملی بنام سازمان امور مالیاتی و شناسه پرداخت 250001073110202000030795698591 جهت پرداخت مالیات حقوق خرداد 1400 واحد مالیاتی 881521 (شماره قبض 30795698591 )</t>
  </si>
  <si>
    <t>133803</t>
  </si>
  <si>
    <t>1992000049536858</t>
  </si>
  <si>
    <t>133804</t>
  </si>
  <si>
    <t>1557000049536859</t>
  </si>
  <si>
    <t xml:space="preserve">واریز  به حساب متمرکز اداره کل امور مالی کد 8150  جهت پرداخت حق بیمه خرداد ماه 1400 کارکنان به نام سازمان تامین اجتماعی شعبه بیست و پنج تهران (قبض  025000042734401 ) </t>
  </si>
  <si>
    <t xml:space="preserve">حواله ساتنا به حساب IR91 0550 0215 8000 2688 5970 01  به نام آقای محسن خستو به شماره ملی 4839597987  بابت شارژ تنخواه دفتر مرکزی (جهت پرداخت قبوض برق ساختمان دوره 1400/02  تا تاریخ 1400/03/09) و هزینه ایاب و ذهاب حسابرسان </t>
  </si>
  <si>
    <t>133805</t>
  </si>
  <si>
    <t>133806</t>
  </si>
  <si>
    <t>6831000049536860</t>
  </si>
  <si>
    <t>9001000049536861</t>
  </si>
  <si>
    <t>واریز  به حساب متمرکز اداره کل امور مالی کد 8150  جهت پرداخت حق بیمه خرداد ماه 1400 کارکنان به نام سازمان تامین اجتماعی شعبه کنگان (بدهی 511000040340501 )</t>
  </si>
  <si>
    <t>حواله ساتنا به حساب IR33 0120 0200 0000 3176 8440 50  نزد بانک ملت به نام شرکت بیمه آسیا بابت قسط هشتم بیمه تمام خطر سایت طی شماره بیمه نامه25432053/99/01</t>
  </si>
  <si>
    <t>133807</t>
  </si>
  <si>
    <t>7130000049536862</t>
  </si>
  <si>
    <t>حواله ساتنا به حساب IR91 0550 0215 8000 2688 5970 01 به نام آقای محسن خستو به شماره ملی 4839597987  بابت شارژ تنخواه دفتر مرکزی سال 1400 شماره 61-62</t>
  </si>
  <si>
    <t>2331000049536863</t>
  </si>
  <si>
    <t>133808</t>
  </si>
  <si>
    <t>133809</t>
  </si>
  <si>
    <t>9037000049536864</t>
  </si>
  <si>
    <t>واریز به حساب  8956440422 نزد بانک ملت بنام آقای کاظم بلوچی بابت تسویه ف 400/03/ک بابت خرید و حمل یخ جهت بچینگ در خرداد ماه 1400</t>
  </si>
  <si>
    <t>کارمزد صدور پایا + ساتنا</t>
  </si>
  <si>
    <t>1400/04/28</t>
  </si>
  <si>
    <t>1400/05/02</t>
  </si>
  <si>
    <t>133810</t>
  </si>
  <si>
    <t>9214000049536865</t>
  </si>
  <si>
    <t xml:space="preserve">واریز به حساب  4890089844  نزد بانک ملت بنام آقای سید وحید حسینی طبق پیش فاکتور 2758 بابت خرید تابلو برق جهت ساپورت UPS شرکت از الکترو نوین صنعت </t>
  </si>
  <si>
    <t xml:space="preserve">واریز به حساب  5511133214  نزد بانک ملت به نام شرکت راهکار برتر آراد پایا بابت پیش ف 1169 افزایش 50 کاربر سیستم پوپک </t>
  </si>
  <si>
    <t>133811</t>
  </si>
  <si>
    <t>133812</t>
  </si>
  <si>
    <t>9596000049536866</t>
  </si>
  <si>
    <t>واریز به حساب 1333896066   نزد بانک ملت بنام آقای حمیدرضا غلامیان به کدملی 4650648424 بابت صورتحساب ش 42424 گروه فنی مهندسی اتوسیستم بابت خرید نرم افزار جهت  piping</t>
  </si>
  <si>
    <t>6227000049536867</t>
  </si>
  <si>
    <t>1400/05/11</t>
  </si>
  <si>
    <t>5360000049536868</t>
  </si>
  <si>
    <t>1400/05/19</t>
  </si>
  <si>
    <t>133813</t>
  </si>
  <si>
    <t xml:space="preserve"> حواله ساتنا به حساب IR40 0560 0611 0400 3548 7060 01 نزد بانک سامان بنام شرکت دنیای ماموت بابت 80% پیش فاکتور 21769 خرید پانل سقفی جهت ساختمان آتش نشانی سایت </t>
  </si>
  <si>
    <t>133814</t>
  </si>
  <si>
    <t>9071000049536869</t>
  </si>
  <si>
    <t>واریز به حساب  4428169626 نزد بانک ملت به نام شرکت حمل و نقل کهورک بار لامرد بابت خرید 500 تن سیمان فله تیپ 2 به همراه حمل جهت سایت کنگان طی پیش ف 91 مورخ 1400/05/10 طبق درخواست CV-145</t>
  </si>
  <si>
    <t>1400/05/20</t>
  </si>
  <si>
    <t>133815</t>
  </si>
  <si>
    <t>1325000049536870</t>
  </si>
  <si>
    <t>حواله ساتنا به حساب IR59 0190 0000 0010 2311 7160 05 نزد بانک صادرات شرکت فنی مهندسی پارس کنترل سپاهان بابت پرداخت 50% پیش پرداخت پیش فاکتور 1904-400 و 1903-400 خرید سینی کابل جهت S35-S55</t>
  </si>
  <si>
    <t>133816</t>
  </si>
  <si>
    <t>1400/05/23</t>
  </si>
  <si>
    <t>4323000049536871</t>
  </si>
  <si>
    <t xml:space="preserve">حواله ساتنا به حساب IR27 0160 0000 0000 0974 3919 93 نزد بانک کشاورزی بنام شرکت هماهنگ بار پارس بابت تسویه صورتحساب ش A23131  بارنامه TRN 210821 بابت هزینه ترانزیت لوله های دقیق سازان محموله AG و UG </t>
  </si>
  <si>
    <t>123817</t>
  </si>
  <si>
    <t>123818</t>
  </si>
  <si>
    <t>123819</t>
  </si>
  <si>
    <t>5690000049536873</t>
  </si>
  <si>
    <t>1914000049536874</t>
  </si>
  <si>
    <t xml:space="preserve">واریز  به حساب متمرکز اداره کل امور مالی کد 8150 جهت پرداخت حق بیمه تیر ماه 1400 کارکنان به نام سازمان تامین اجتماعی شعبه بیست و پنج تهران (قبض 025000051547501 ) </t>
  </si>
  <si>
    <t>واریز  به حساب متمرکز اداره کل امور مالی کد 8150  جهت پرداخت حق بیمه تیر ماه 1400 کارکنان به نام سازمان تامین اجتماعی شعبه کنگان (بدهی 511000050265501 )</t>
  </si>
  <si>
    <t>حواله ساتنا به حساب IR33 0120 0200 0000 3176 8440 50  نزد بانک ملت به نام شرکت بیمه آسیا بابت قسط نهم بیمه تمام خطر سایت طی شماره بیمه نامه25432053/99/01</t>
  </si>
  <si>
    <t>123820</t>
  </si>
  <si>
    <t>4391000049536875</t>
  </si>
  <si>
    <t>پرداخت حقوق و دستمزد تیر ماه 1400 کارکنان شرکت پالایش میعانات گازی آدیش جنوبی طبق لیست پیوست (پرسنل گمرک)</t>
  </si>
  <si>
    <t>حواله ساتنا به حساب IR74 0100 0040 7300 1001 0266 26  نزد بانک ملی بنام سازمان امور مالیاتی و شناسه پرداخت 295001073110202000030861175145 جهت پرداخت مالیات حقوق تیر 1400 واحد مالیاتی 881521 (شماره قبض 30861175145 )</t>
  </si>
  <si>
    <t>123821</t>
  </si>
  <si>
    <t>123822</t>
  </si>
  <si>
    <t>7065000049536876</t>
  </si>
  <si>
    <t>حواله ساتنا به حساب IR74 0100 0040 7300 1001 0266 26  نزد بانک ملی بنام سازمان امور مالیاتی و شناسه پرداخت  240001073110202000030861194260 جهت پرداخت مالیات حقوق تیر 1400 واحد مالیاتی 881521 (شماره قبض 30861194260 )</t>
  </si>
  <si>
    <t>4050000049536877</t>
  </si>
  <si>
    <t>123823</t>
  </si>
  <si>
    <t>1899000049536878</t>
  </si>
  <si>
    <t>1400/05/24</t>
  </si>
  <si>
    <t>1400/05/31</t>
  </si>
  <si>
    <t>123824</t>
  </si>
  <si>
    <t>1400/06/08</t>
  </si>
  <si>
    <t>7478000049536879</t>
  </si>
  <si>
    <t>حواله ساتنا به حساب IR26 0160 0000 0000 0981 3039 40 نزد بانک کشاورزی بنام شرکت هماهنگ بار پارس بابت تسویه صورتحساب ش A23118  بارنامه ILJEABND210616298 بابت هزینه ترانزیت لوله های 28 خط خوراک</t>
  </si>
  <si>
    <t>کارمزد صدور دسته چک 50 برگی+صدور ساتنا</t>
  </si>
  <si>
    <t>حواله ساتنا به حساب IR54 0150 0000 0159 6301 4207 12 نزد بانک سپه بنام آقای حسینعلی حجاری زاده بابت  اجاره 1400/05/01 تا 1400/06/31 6 دانگ ساختمان اداری پلاک ثبتی فرعی شماره 2693 از پلاک ثبتی اصلی 3381 به مساحت 1210 مترمربع طبق قرارداد 18998249</t>
  </si>
  <si>
    <t>1400/06/13</t>
  </si>
  <si>
    <t>123825</t>
  </si>
  <si>
    <t>4010000049536880</t>
  </si>
  <si>
    <t>5027000070001671</t>
  </si>
  <si>
    <t>631286</t>
  </si>
  <si>
    <t xml:space="preserve">آقای عباس رحیمی به کد ملی 0601266544 واریز به حساب 1714483495 نزد بانک ملت بابت تسویه فاکتور به شماره 512 جهت خرید کابل شبکه از ارتباط نوین </t>
  </si>
  <si>
    <t xml:space="preserve"> حواله ساتنا به حساب IR40 0560 0611 0400 3548 7060 01 نزد بانک سامان بنام شرکت دنیای ماموت بابت تسویه پیش فاکتور 21769 خرید پانل سقفی جهت ساختمان آتش نشانی سایت </t>
  </si>
  <si>
    <t>631287</t>
  </si>
  <si>
    <t>1400/06/14</t>
  </si>
  <si>
    <t>5080000070001672</t>
  </si>
  <si>
    <t xml:space="preserve"> حواله ساتنا به حساب IR32 0180 0000 0000 0909 9002 55 نزد بانک تجارت بنام شرکت صنایع دیر گداز آمل بابت پیش پرداخت پیش فاکتور 250 خرید سیمان عایق جهت CDU</t>
  </si>
  <si>
    <t>631288</t>
  </si>
  <si>
    <t>8497000070001673</t>
  </si>
  <si>
    <t>631289</t>
  </si>
  <si>
    <t xml:space="preserve">حواله ساتنا به حساب IR91 0550 0215 8000 2688 5970 01  به نام آقای محسن خستو به شماره ملی 4839597987  بابت شارژ تنخواه دفتر مرکزی (جهت پرداخت قبوض برق ساختمان دوره 1400/03  تا تاریخ 1400/05/12) </t>
  </si>
  <si>
    <t>4687000070001674</t>
  </si>
  <si>
    <t>حواله ساتنا به حساب IR91 0550 0215 8000 2688 5970 01  به نام آقای محسن خستو به شماره ملی 4839597987  بابت شارژ تنخواه دفتر مرکزی اسناد ش 85 الی 87</t>
  </si>
  <si>
    <t>631290</t>
  </si>
  <si>
    <t>1400/06/15</t>
  </si>
  <si>
    <t>7672000070001675</t>
  </si>
  <si>
    <t>631291</t>
  </si>
  <si>
    <t>6228000070001676</t>
  </si>
  <si>
    <t>حواله ساتنا به حساب IR38 0630 2526 0441 6838 0830 01 نزد بانک انصار بنام خانم مرضیه هدایتی بابت تسویه صورتحساب تیر و مرداد ق ADSH-P-CO-GE-014  خرید مصالح شن و ماسه جهت تولید بتن از سیراف بتن جنوب</t>
  </si>
  <si>
    <t>1400/06/16</t>
  </si>
  <si>
    <t>حواله ساتنا به حساب IR91 0550 0215 8000 2688 5970 01  به نام آقای محسن خستو به شماره ملی 4839597987  بابت شارژ تنخواه دفتر مرکزی اسناد ش 88 الی 91</t>
  </si>
  <si>
    <t>1400/06/21</t>
  </si>
  <si>
    <t>631292</t>
  </si>
  <si>
    <t>7490000070001677</t>
  </si>
  <si>
    <t>631293</t>
  </si>
  <si>
    <t>1476000070001678</t>
  </si>
  <si>
    <t>1400/06/24</t>
  </si>
  <si>
    <t>631294</t>
  </si>
  <si>
    <t>631295</t>
  </si>
  <si>
    <t>631296</t>
  </si>
  <si>
    <t>9822000070001679</t>
  </si>
  <si>
    <t>6594000070001680</t>
  </si>
  <si>
    <t>6662000070001681</t>
  </si>
  <si>
    <t>شرکت آدیش جنوبی جهت حواله ساتنا به حساب IR82 0130 1000 0000 0043 3971 41  نزد بانک رفاه به نام شرکت ترسیم گران اندیشه پویا بابت خرید هارد و سیستم کامپیوتر طی فاکتور 1728-1704 جهت دفتر مرکزی</t>
  </si>
  <si>
    <t>حواله ساتنا به حساب IR91 0550 0215 8000 2688 5970 01  به نام آقای محسن خستو به شماره ملی 4839597987  بابت شارژ تنخواه دفتر مرکزی اسناد ش 92 الی 95</t>
  </si>
  <si>
    <t>واریز به حساب  4421512085  نزد بانک ملت به نام شرکت خدمات مسافرت هوایی پرتو پرواز فردا بابت صورتحساب 86</t>
  </si>
  <si>
    <t>حواله ساتنا به حساب IR91 0550 0215 8000 2688 5970 01  به نام آقای محسن خستو به شماره ملی 4839597987  بابت شارژ تنخواه دفتر مرکزی اسناد ش 96</t>
  </si>
  <si>
    <t>631297</t>
  </si>
  <si>
    <t>9892000070001682</t>
  </si>
  <si>
    <t>پرداخت حقوق و دستمزد مرداد ماه 1400 کارکنان شرکت پالایش میعانات گازی آدیش جنوبی طبق لیست پیوست (پرسنل گمرک)</t>
  </si>
  <si>
    <t>631298</t>
  </si>
  <si>
    <t>631299</t>
  </si>
  <si>
    <t>9200000070001683</t>
  </si>
  <si>
    <t>واریز به حساب  3176844050 نزد بانک ملت به نام شرکت بیمه آسیا بابت قسط دهم بیمه تمام خطر سایت طی شماره بیمه نامه25432053/99/01</t>
  </si>
  <si>
    <t>1906000070001684</t>
  </si>
  <si>
    <t>شرکت آدیش جنوبی جهت حواله ساتنا به حساب IR82 0120 0000 0000 8375 6509 27 نزد بانک ملت بنام شرکت آدیش جنوبی بابت تامین موجودی</t>
  </si>
  <si>
    <t>1400/06/22</t>
  </si>
  <si>
    <t>1400/06/27</t>
  </si>
  <si>
    <t>631300</t>
  </si>
  <si>
    <t>631301</t>
  </si>
  <si>
    <t>631302</t>
  </si>
  <si>
    <t>631303</t>
  </si>
  <si>
    <t>9148000070001685</t>
  </si>
  <si>
    <t>5896000070001686</t>
  </si>
  <si>
    <t>6589000070001687</t>
  </si>
  <si>
    <t>5336000070001688</t>
  </si>
  <si>
    <t>واریز به حساب متمرکز اداره کل امور مالی کد 8150  جهت پرداخت حق بیمه مرداد ماه 1400 کارکنان به نام سازمان تامین اجتماعی شعبه کنگان (بدهی 511000060282201 )</t>
  </si>
  <si>
    <t>حواله ساتنا به حساب IR33 0170 0000 0010 6826 1320 09 نزد بانک ملی بنام شرکت درساترابر آسیا بابت اعلامیه ورود بارنامه TR2102110 مربوط به هزینه ترخیص موتور سیستم کولینگ</t>
  </si>
  <si>
    <t>حواله ساتنا به حساب IR02 0100 0040 0106 3604 0286 53 نزد بانک مرکزی بنام شرکت سهامی آزمایشگاه فنی و مکانیک خاک بابت آزمایشات فیزیکی مصالح بتن طبق ص 25292 جهت بچینگ</t>
  </si>
  <si>
    <t>حواله ساتنا به حساب IR05 0550 0215 8000 5942 5330 01 نزد بانک اقتصادنوین بنام آقای حسین سمیعی کیا بابت پرداخت تسهیلات قرض الحسنه با اقساط 10 ماه طی دستور پیوست</t>
  </si>
  <si>
    <t xml:space="preserve">واریز  به حساب متمرکز اداره کل امور مالی کد 8150 جهت پرداخت حق بیمه مرداد ماه 1400 کارکنان به نام سازمان تامین اجتماعی شعبه بیست و پنج تهران (قبض 025000062123401 ) </t>
  </si>
  <si>
    <t>631304</t>
  </si>
  <si>
    <t>1970000070001689</t>
  </si>
  <si>
    <t>631305</t>
  </si>
  <si>
    <t>631306</t>
  </si>
  <si>
    <t>4457000070001690</t>
  </si>
  <si>
    <t>2960000070001691</t>
  </si>
  <si>
    <t>حواله ساتنا به حساب IR74 0100 0040 7300 1001 0266 26  نزد بانک ملی بنام سازمان امور مالیاتی و شناسه پرداخت 215001073110202000030951811476 جهت پرداخت مالیات حقوق مرداد 1400 واحد مالیاتی 881521 (شماره قبض 30951811476 )</t>
  </si>
  <si>
    <t>حواله ساتنا به حساب IR74 0100 0040 7300 1001 0266 26  نزد بانک ملی بنام سازمان امور مالیاتی و شناسه پرداخت  285001073110202000030951945829 جهت پرداخت مالیات حقوق مرداد 1400 واحد مالیاتی 881521 (شماره قبض 30951945829 )</t>
  </si>
  <si>
    <t>631307</t>
  </si>
  <si>
    <t>1400/06/28</t>
  </si>
  <si>
    <t>2959000070001692</t>
  </si>
  <si>
    <t xml:space="preserve"> جهت واریز به حساب 1281794586 نزد بانک ملت بنام آقای مسلم بلوچی بابت تسویه ف 400/1101/ک بابت خرید و حمل آب تصفیه جهت بچینگ در تیر ماه 1400</t>
  </si>
  <si>
    <t xml:space="preserve">کارمزد ابطال چک +صدور پایا </t>
  </si>
  <si>
    <t>631308</t>
  </si>
  <si>
    <t>حواله ساتنا به حساب IR47 0100 0040 7400 1001 0266 74  نزد بانک ملی شعبه میرداماد کد 64 به نام اداره کل امور مالیاتی-درآمد مستغلات اجاره املاک و شناسه پرداخت  267001039110204000030961851086  جهت پرداخت مالیات اجاره 1400/05/01 تا 1400/06/31 ، واحد 400222 کلاسه 303 (قبض 30961851086)</t>
  </si>
  <si>
    <t>4661000070001693</t>
  </si>
  <si>
    <t>1400/06/30</t>
  </si>
  <si>
    <t>631309</t>
  </si>
  <si>
    <t>حواله ساتنا به حساب IR91 0550 0215 8000 2688 5970 01  به نام آقای محسن خستو به شماره ملی 4839597987  بابت شارژ تنخواه دفتر مرکزی اسناد ش 97 الی 98</t>
  </si>
  <si>
    <t>9083000070001694</t>
  </si>
  <si>
    <t>هفتاد میلیون و ششصد و شصت و چهار هزار ریال تمام</t>
  </si>
  <si>
    <t>1400/06/31</t>
  </si>
  <si>
    <t>1400/07/04</t>
  </si>
  <si>
    <t>631310</t>
  </si>
  <si>
    <t>5741000070001695</t>
  </si>
  <si>
    <t xml:space="preserve">واریز به حساب  179658075 نزد بانک ملت بنام شرکت ترابر بار شرق بابت اعلامیه ورود بارنامه ش 006029 مربوط به هزینه ترخیص محموله Spray  قرارداد Deluge Valve </t>
  </si>
  <si>
    <r>
      <rPr>
        <b/>
        <u/>
        <sz val="12"/>
        <color theme="1"/>
        <rFont val="B Nazanin"/>
        <charset val="178"/>
      </rPr>
      <t xml:space="preserve">استرداد </t>
    </r>
    <r>
      <rPr>
        <sz val="12"/>
        <color theme="1"/>
        <rFont val="B Nazanin"/>
        <charset val="178"/>
      </rPr>
      <t>حواله ساتنا به حساب IR02 0100 0040 0106 3604 0286 53 نزد بانک مرکزی بنام شرکت سهامی آزمایشگاه فنی و مکانیک خاک بابت آزمایشات فیزیکی مصالح بتن طبق ص 25292 جهت بچینگ</t>
    </r>
  </si>
  <si>
    <t>631311</t>
  </si>
  <si>
    <t>3297000070001696</t>
  </si>
  <si>
    <t>631312</t>
  </si>
  <si>
    <t>1726000070001697</t>
  </si>
  <si>
    <t>631313</t>
  </si>
  <si>
    <t>7643000070001698</t>
  </si>
  <si>
    <t>حواله ساتنا به حساب IR26 0190 0000 0021 6614 4050 06 نزد بانک صادرات بنام شرکت آبدیس مارین بابت اعلامیه ورود بارنامه ش AGN171121011750  مربوط به هزینه ترخیص gearbox مربوط به سیستم کولینگ</t>
  </si>
  <si>
    <t>حواله ساتنا  به حساب IR26 0190 0000 0021 6614 4050 06 نزد بانک صادرات بنام شرکت آبدیس مارین بابت سپرده نقدی اعلامیه ورود بارنامه ش AGN171121011750  مربوط به هزینه ترخیص  gearbox مربوط به سیستم کولینگ</t>
  </si>
  <si>
    <t>631314</t>
  </si>
  <si>
    <t>1338000070001699</t>
  </si>
  <si>
    <t>حواله ساتنا  به حساب IR10 0660 0000 0010 4474 1430 05 نزد بانک دی بنام شرکت رادمان ترابر بابت صورتحساب های ش 1723-1711-1722-1724مربوط به هزینه ترخیصیه محموله اول تابلوهای MV ایران تابلو</t>
  </si>
  <si>
    <t>حواله ساتنا به حساب IR91 0550 0215 8000 2688 5970 01  به نام آقای محسن خستو به شماره ملی 4839597987  بابت شارژ تنخواه دفتر مرکزی اسناد ش 99 الی 104</t>
  </si>
  <si>
    <t>631315</t>
  </si>
  <si>
    <t>7559000070001700</t>
  </si>
  <si>
    <t>1400/07/06</t>
  </si>
  <si>
    <t>حواله ساتنا به حساب IR91 0550 0215 8000 2688 5970 01  به نام آقای محسن خستو به شماره ملی 4839597987  بابت شارژ تنخواه دفتر مرکزی اسناد ش 105 الی 107</t>
  </si>
  <si>
    <t>2404000070001701</t>
  </si>
  <si>
    <t>631316</t>
  </si>
  <si>
    <t>1400/07/10</t>
  </si>
  <si>
    <t>1400/07/11</t>
  </si>
  <si>
    <t>1400/07/17</t>
  </si>
  <si>
    <t>پرداخت حقوق و دستمزد شهریور ماه 1400 کارکنان شرکت پالایش میعانات گازی آدیش جنوبی طبق لیست پیوست (پرسنل گمرک)</t>
  </si>
  <si>
    <t>1400/07/24</t>
  </si>
  <si>
    <t>631317</t>
  </si>
  <si>
    <t>7714000070001702</t>
  </si>
  <si>
    <t xml:space="preserve"> حواله ساتنا به حساب  IR92 0180 0000 0000 2627 0509 87 نزد بانک تجارت به نام آقایان محمد حسن ریاحی و رضا صفری و حمید رضا کیانوش جهت شارژ تنخواه کرایه بارنامه ها</t>
  </si>
  <si>
    <t>631318</t>
  </si>
  <si>
    <t>3876000070001703</t>
  </si>
  <si>
    <t>1400/07/26</t>
  </si>
  <si>
    <t xml:space="preserve">هزینه کارمزد واریز حقوق پرسنل طی لیست </t>
  </si>
  <si>
    <t>1400/07/25</t>
  </si>
  <si>
    <t>1400/07/27</t>
  </si>
  <si>
    <t>هزینه کارمزد صدور ساتنا</t>
  </si>
  <si>
    <t>حواله ساتنا به حساب IR47 0100 0040 7400 1001 0266 74  نزد بانک ملی شعبه میرداماد کد 64 به نام اداره کل امور مالیاتی-درآمد مستغلات اجاره املاک و شناسه پرداخت  205001039110204000031167035294  جهت پرداخت مالیات اجاره 1400/07/01 تا 1400/08/30 ، واحد 400222 کلاسه 303 (قبض 31167035294)</t>
  </si>
  <si>
    <t>1400/08/24</t>
  </si>
  <si>
    <t>631319</t>
  </si>
  <si>
    <t>9917000070001704</t>
  </si>
  <si>
    <t>پرداخت حقوق و دستمزد مهر ماه 1400 کارکنان شرکت پالایش میعانات گازی آدیش جنوبی طبق لیست پیوست (پرسنل گمرک)</t>
  </si>
  <si>
    <t>631320</t>
  </si>
  <si>
    <t>1400/08/25</t>
  </si>
  <si>
    <t>4803000070001705</t>
  </si>
  <si>
    <t>1400/08/27</t>
  </si>
  <si>
    <t>631321</t>
  </si>
  <si>
    <t>3263000070001706</t>
  </si>
  <si>
    <t>پرداخت حقوق و دستمزد آبان ماه 1400 کارکنان شرکت پالایش میعانات گازی آدیش جنوبی طبق لیست پیوست (پرسنل گمرک)</t>
  </si>
  <si>
    <t>1400/09/27</t>
  </si>
  <si>
    <t>1400/09/28</t>
  </si>
  <si>
    <t>631322</t>
  </si>
  <si>
    <t>1400/10/07</t>
  </si>
  <si>
    <t>حواله ساتنا به حساب IR55 0170 0000 0010 3020 7700 09 نزد بانک ملی بنام شرکت تولیدی و بازرگانی نیاشیمی جهت خرید پرایمر و ... طبق پ ف 1401655</t>
  </si>
  <si>
    <t>1400/10/13</t>
  </si>
  <si>
    <t>631323</t>
  </si>
  <si>
    <t>1400/10/25</t>
  </si>
  <si>
    <t>7083000070001708</t>
  </si>
  <si>
    <t>پرداخت حقوق و دستمزد آذر ماه 1400 کارکنان شرکت پالایش میعانات گازی آدیش جنوبی طبق لیست پیوست (پرسنل گمرک)</t>
  </si>
  <si>
    <t>1400/10/26</t>
  </si>
  <si>
    <t>پرداخت حقوق و دستمزد دی ماه 1400 کارکنان شرکت پالایش میعانات گازی آدیش جنوبی طبق لیست پیوست (پرسنل گمرک)</t>
  </si>
  <si>
    <t>631324</t>
  </si>
  <si>
    <t>1400/11/24</t>
  </si>
  <si>
    <t>7518000070001709</t>
  </si>
  <si>
    <t>631325</t>
  </si>
  <si>
    <t>1400/12/14</t>
  </si>
  <si>
    <t>2805000070001710</t>
  </si>
  <si>
    <t>پرداخت حقوق و دستمزد بهمن ماه 1400 کارکنان شرکت پالایش میعانات گازی آدیش جنوبی طبق لیست پیوست (پرسنل گمرک)</t>
  </si>
  <si>
    <t>631326</t>
  </si>
  <si>
    <t>5665000070001711</t>
  </si>
  <si>
    <t>پرداخت عیدی 1400 کارکنان شرکت پالایش میعانات گازی آدیش جنوبی طبق لیست پیوست (پرسنل گمرک)</t>
  </si>
  <si>
    <t>1400/12/15</t>
  </si>
  <si>
    <t>1401/01/01</t>
  </si>
  <si>
    <t>هزینه کارمزد صدور دسته چک</t>
  </si>
  <si>
    <t>1401/01/15</t>
  </si>
  <si>
    <t>1401/01/28</t>
  </si>
  <si>
    <t>631327</t>
  </si>
  <si>
    <t>4251000070001712</t>
  </si>
  <si>
    <t>پرداخت حقوق و دستمزد اسفند ماه 1400 کارکنان شرکت پالایش میعانات گازی آدیش جنوبی طبق لیست پیوست (پرسنل گمرک)</t>
  </si>
  <si>
    <t>1401/01/29</t>
  </si>
  <si>
    <t xml:space="preserve">هزینه کارمزد چاپ صورتحساب سال گذشته </t>
  </si>
  <si>
    <t>1401/02/01</t>
  </si>
  <si>
    <t>1401/02/04</t>
  </si>
  <si>
    <t xml:space="preserve">هزینه کارمزد ارائه اطلاعات مشتریان به حسابرس </t>
  </si>
  <si>
    <t>پرداخت حقوق و دستمزد فروردین ماه 1401 کارکنان شرکت پالایش میعانات گازی آدیش جنوبی طبق لیست پیوست (پرسنل گمرک)</t>
  </si>
  <si>
    <t>1401/02/26</t>
  </si>
  <si>
    <t>631328</t>
  </si>
  <si>
    <t>2410000070001713</t>
  </si>
  <si>
    <t xml:space="preserve">کارمزد سرویس بانکداری اینترنتی </t>
  </si>
  <si>
    <t>1401/03/07</t>
  </si>
  <si>
    <t>1401/03/24</t>
  </si>
  <si>
    <t>631329</t>
  </si>
  <si>
    <t>واریز به حساب 40878674/10 نزد بانک ملت به نام شرکت سینا کنترل بابت خریدOrifice Plate and Flanges 30% ق ADSH-P-PO-GE-090</t>
  </si>
  <si>
    <t>1912000070001714</t>
  </si>
  <si>
    <t>1401/03/27</t>
  </si>
  <si>
    <t>631330</t>
  </si>
  <si>
    <t>8142000070001715</t>
  </si>
  <si>
    <t>پرداخت حقوق و دستمزد اردیبهشت ماه 1401 کارکنان شرکت پالایش میعانات گازی آدیش جنوبی طبق لیست پیوست (پرسنل گمرک)</t>
  </si>
  <si>
    <t xml:space="preserve">کارمزد ارائه اطلاعات حسابرس </t>
  </si>
  <si>
    <t xml:space="preserve">هزینه کارمزد بانکی </t>
  </si>
  <si>
    <t>1401/03/16</t>
  </si>
  <si>
    <t>1401/03/21</t>
  </si>
  <si>
    <t>1401/04/08</t>
  </si>
  <si>
    <t>631331</t>
  </si>
  <si>
    <t>7342000070001716</t>
  </si>
  <si>
    <t>پرداخت حقوق و دستمزد خرداد ماه 1401 کارکنان شرکت پالایش میعانات گازی آدیش جنوبی طبق لیست پیوست (پرسنل گمرک)</t>
  </si>
  <si>
    <t>1401/04/28</t>
  </si>
  <si>
    <t>631332</t>
  </si>
  <si>
    <t>2593000070001717</t>
  </si>
  <si>
    <t>1401/04/29</t>
  </si>
  <si>
    <t>1401/05/15</t>
  </si>
  <si>
    <t xml:space="preserve">شرکت آدیش جنوبی جهت واریز به حساب 5527849422  نزد بانک ملت بنام کشتیرانی دریا سفیر هرمز  بابت تسویه فاکتور 41 </t>
  </si>
  <si>
    <t>9927000070001718</t>
  </si>
  <si>
    <t>حواله ساتنا به حساب IR91 0550 0215 8000 2688 5970 01 به نام آقای محسن خستو به شماره ملی 4839597987  بابت شارژ تنخواه دفتر مرکزی سال 1401 شماره 26-27</t>
  </si>
  <si>
    <t>631333</t>
  </si>
  <si>
    <t>631334</t>
  </si>
  <si>
    <t>هزینه کارمزد صدور پایا</t>
  </si>
  <si>
    <t>1401/05/19</t>
  </si>
  <si>
    <t>631335</t>
  </si>
  <si>
    <t>1401/05/26</t>
  </si>
  <si>
    <t>6100000070001720</t>
  </si>
  <si>
    <t>2065000070001719</t>
  </si>
  <si>
    <t>پرداخت حقوق و دستمزد تیر ماه 1401 کارکنان شرکت پالایش میعانات گازی آدیش جنوبی طبق لیست پیوست (پرسنل گمرک)</t>
  </si>
  <si>
    <t>1401/06/02</t>
  </si>
  <si>
    <t>323191</t>
  </si>
  <si>
    <t>7547000179211372</t>
  </si>
  <si>
    <t>شرکت شاهو ترابر پارس بابت تضمین برگشت سالم و حق توقف کانتینر اعلامیه ورود رفرنس 2659 هزینه ترخیصیه محموله لوله اینویس 174 ص 3211</t>
  </si>
  <si>
    <t>شرکت شاهو ترابر پارس بابت تضمین برگشت سالم و حق توقف کانتینر (شرح چک ////////////////)</t>
  </si>
  <si>
    <t>1401/06/23</t>
  </si>
  <si>
    <t>323192</t>
  </si>
  <si>
    <t>6950000179211373</t>
  </si>
  <si>
    <t>پرداخت حقوق و دستمزد مرداد ماه 1401 کارکنان شرکت پالایش میعانات گازی آدیش جنوبی طبق لیست پیوست (پرسنل گمرک)</t>
  </si>
  <si>
    <t>1401/07/02</t>
  </si>
  <si>
    <t>323194</t>
  </si>
  <si>
    <t>6534000179211375</t>
  </si>
  <si>
    <t>واریز به حساب 3176844050  نزد بانک ملت به نام شرکت بیمه آسیا بابت بیمه نامه مسئولیت مدنی  410551037/00/000003 با شناسه واریز 51037/03  ( دوره از 1401/07/07 لغایت 1402/07/07)</t>
  </si>
  <si>
    <t xml:space="preserve">هزینه کارمزد صورتحساب </t>
  </si>
  <si>
    <t>1401/06/28</t>
  </si>
  <si>
    <t>1401/07/11</t>
  </si>
  <si>
    <t>323195</t>
  </si>
  <si>
    <t>4168000179211376</t>
  </si>
  <si>
    <t>شرکت حمل و نقل بین المللی توشه بر بابت تضمین برگشت سالم و حق توقف کانتینر بارنامه ILJEABND220825211 اینویس 138</t>
  </si>
  <si>
    <t>تضمین</t>
  </si>
  <si>
    <t>1401/07/26</t>
  </si>
  <si>
    <t>323196</t>
  </si>
  <si>
    <t>5000000179211377</t>
  </si>
  <si>
    <t>پرداخت حقوق و دستمزد شهریور ماه 1401 کارکنان شرکت پالایش میعانات گازی آدیش جنوبی طبق لیست پیوست (پرسنل گمرک)</t>
  </si>
  <si>
    <t>هزینه کارمزد ابطال چک</t>
  </si>
  <si>
    <t>1401/07/18</t>
  </si>
  <si>
    <t>آقای رستم فرودیان با کد ملی 0036649368 جهت حواله ساتنا به حساب IR 64 0180 0000 0000 0235 1171 42  بابت خرید دو دستگاه فتوکپی و تونر طی پ ف مورخ 1401/08/30 از خدمات ماشین های اداری رامتین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</si>
</sst>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0_-;_-* #,##0.00\-;_-* &quot;-&quot;??_-;_-@_-"/>
    <numFmt numFmtId="166" formatCode="_-* #,##0_-;_-* #,##0\-;_-* &quot;-&quot;??_-;_-@_-"/>
    <numFmt numFmtId="167" formatCode="#,##0_ ;\-#,##0\ "/>
    <numFmt numFmtId="168" formatCode="_-* #,##0\ _ _-;\-* #,##0\ _ _-;_-* &quot;-&quot;\ _ _-;_-@_-"/>
  </numFmts>
  <fonts count="56">
    <font>
      <sz val="11"/>
      <color theme="1"/>
      <name val="Calibri"/>
      <family val="2"/>
      <charset val="178"/>
      <scheme val="minor"/>
    </font>
    <font>
      <sz val="11"/>
      <color theme="1"/>
      <name val="Calibri"/>
      <family val="2"/>
      <charset val="178"/>
      <scheme val="minor"/>
    </font>
    <font>
      <sz val="12"/>
      <color theme="1"/>
      <name val="B Nazanin"/>
      <charset val="178"/>
    </font>
    <font>
      <b/>
      <u/>
      <sz val="12"/>
      <color theme="1"/>
      <name val="B Nazanin"/>
      <charset val="178"/>
    </font>
    <font>
      <sz val="11"/>
      <color theme="1"/>
      <name val="B Nazanin"/>
      <charset val="178"/>
    </font>
    <font>
      <b/>
      <sz val="11"/>
      <color theme="1"/>
      <name val="B Nazanin"/>
      <charset val="178"/>
    </font>
    <font>
      <b/>
      <sz val="12"/>
      <color theme="1"/>
      <name val="B Yekan"/>
      <charset val="178"/>
    </font>
    <font>
      <sz val="14"/>
      <color theme="1"/>
      <name val="B Nazanin"/>
      <charset val="178"/>
    </font>
    <font>
      <b/>
      <sz val="11"/>
      <color theme="1"/>
      <name val="B Zar"/>
      <charset val="178"/>
    </font>
    <font>
      <sz val="11"/>
      <color theme="1"/>
      <name val="B Zar"/>
      <charset val="178"/>
    </font>
    <font>
      <b/>
      <sz val="12"/>
      <color theme="1"/>
      <name val="B Nazanin"/>
      <charset val="178"/>
    </font>
    <font>
      <b/>
      <sz val="14"/>
      <color theme="1"/>
      <name val="B Nazanin"/>
      <charset val="178"/>
    </font>
    <font>
      <sz val="16"/>
      <color theme="1"/>
      <name val="B Nazanin"/>
      <charset val="178"/>
    </font>
    <font>
      <b/>
      <sz val="20"/>
      <color theme="1"/>
      <name val="B Nazanin"/>
      <charset val="178"/>
    </font>
    <font>
      <b/>
      <sz val="16"/>
      <color theme="1"/>
      <name val="B Zar"/>
      <charset val="178"/>
    </font>
    <font>
      <b/>
      <sz val="16"/>
      <color theme="1"/>
      <name val="B Nazanin"/>
      <charset val="178"/>
    </font>
    <font>
      <sz val="20"/>
      <color theme="1"/>
      <name val="B Nazanin"/>
      <charset val="178"/>
    </font>
    <font>
      <sz val="8"/>
      <name val="Calibri"/>
      <family val="2"/>
      <charset val="178"/>
      <scheme val="minor"/>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name val="B Nazanin"/>
      <charset val="178"/>
    </font>
    <font>
      <sz val="12"/>
      <color theme="1"/>
      <name val="B Nazanin"/>
      <charset val="178"/>
    </font>
    <font>
      <sz val="10"/>
      <name val="Arial"/>
      <family val="2"/>
    </font>
    <font>
      <sz val="14"/>
      <color theme="1"/>
      <name val="B Lotus"/>
      <charset val="178"/>
    </font>
    <font>
      <b/>
      <u/>
      <sz val="14"/>
      <color theme="1"/>
      <name val="B Lotus"/>
      <charset val="178"/>
    </font>
    <font>
      <b/>
      <sz val="12"/>
      <name val="B Nazanin"/>
      <charset val="178"/>
    </font>
    <font>
      <sz val="12"/>
      <color theme="1"/>
      <name val="B Nazanin"/>
      <charset val="178"/>
    </font>
    <font>
      <sz val="12"/>
      <color theme="1"/>
      <name val="B Nazanin"/>
      <charset val="178"/>
    </font>
    <font>
      <sz val="12"/>
      <color theme="1"/>
      <name val="B Nazanin"/>
      <charset val="178"/>
    </font>
    <font>
      <sz val="12"/>
      <color rgb="FF000000"/>
      <name val="B Nazanin"/>
      <charset val="178"/>
    </font>
    <font>
      <b/>
      <sz val="12"/>
      <color theme="1"/>
      <name val="B Nazanin"/>
      <charset val="178"/>
    </font>
    <font>
      <sz val="12"/>
      <color rgb="FF000000"/>
      <name val="B Nazanin"/>
      <charset val="178"/>
    </font>
    <font>
      <sz val="12"/>
      <color theme="1"/>
      <name val="B Nazanin"/>
      <charset val="178"/>
    </font>
    <font>
      <sz val="12"/>
      <color rgb="FF000000"/>
      <name val="B Nazanin"/>
      <charset val="178"/>
    </font>
    <font>
      <sz val="12"/>
      <color rgb="FF000000"/>
      <name val="B Nazanin"/>
      <charset val="178"/>
    </font>
    <font>
      <sz val="12"/>
      <color rgb="FF000000"/>
      <name val="B Nazanin"/>
      <charset val="178"/>
    </font>
    <font>
      <sz val="12"/>
      <color theme="1"/>
      <name val="B Nazanin"/>
      <charset val="178"/>
    </font>
    <font>
      <sz val="12"/>
      <color rgb="FF000000"/>
      <name val="B Nazanin"/>
      <charset val="178"/>
    </font>
    <font>
      <sz val="12"/>
      <color rgb="FF000000"/>
      <name val="B Nazanin"/>
      <charset val="178"/>
    </font>
    <font>
      <sz val="12"/>
      <color theme="1"/>
      <name val="B Nazanin"/>
      <charset val="178"/>
    </font>
    <font>
      <sz val="12"/>
      <color rgb="FF000000"/>
      <name val="B Nazanin"/>
      <charset val="178"/>
    </font>
    <font>
      <sz val="12"/>
      <color rgb="FF000000"/>
      <name val="B Nazanin"/>
      <charset val="178"/>
    </font>
    <font>
      <sz val="12"/>
      <color rgb="FFFF0000"/>
      <name val="B Nazanin"/>
      <charset val="178"/>
    </font>
    <font>
      <sz val="12"/>
      <color theme="1"/>
      <name val="B Nazanin"/>
      <charset val="178"/>
    </font>
    <font>
      <sz val="12"/>
      <color rgb="FF000000"/>
      <name val="B Nazanin"/>
      <charset val="178"/>
    </font>
    <font>
      <sz val="12"/>
      <color rgb="FF000000"/>
      <name val="B Nazanin"/>
      <charset val="178"/>
    </font>
    <font>
      <sz val="12"/>
      <color theme="1"/>
      <name val="B Nazanin"/>
      <charset val="178"/>
    </font>
    <font>
      <sz val="12"/>
      <color rgb="FF000000"/>
      <name val="B Nazanin"/>
      <charset val="178"/>
    </font>
    <font>
      <sz val="12"/>
      <color theme="1"/>
      <name val="B Nazanin"/>
      <charset val="178"/>
    </font>
    <font>
      <sz val="12"/>
      <color rgb="FF000000"/>
      <name val="B Nazanin"/>
      <charset val="178"/>
    </font>
    <font>
      <sz val="12"/>
      <color rgb="FF000000"/>
      <name val="B Nazanin"/>
      <charset val="178"/>
    </font>
    <font>
      <b/>
      <sz val="12"/>
      <color rgb="FFFF0000"/>
      <name val="B Nazanin"/>
      <charset val="178"/>
    </font>
  </fonts>
  <fills count="4">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s>
  <borders count="1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165" fontId="1" fillId="0" borderId="0" applyFont="0" applyFill="0" applyBorder="0" applyAlignment="0" applyProtection="0"/>
    <xf numFmtId="165" fontId="1" fillId="0" borderId="0" applyFont="0" applyFill="0" applyBorder="0" applyAlignment="0" applyProtection="0"/>
    <xf numFmtId="0" fontId="26" fillId="0" borderId="0"/>
    <xf numFmtId="164" fontId="26" fillId="0" borderId="0" applyFont="0" applyFill="0" applyBorder="0" applyAlignment="0" applyProtection="0"/>
    <xf numFmtId="168" fontId="26" fillId="0" borderId="0" applyFont="0" applyFill="0" applyBorder="0" applyAlignment="0" applyProtection="0"/>
    <xf numFmtId="0" fontId="26" fillId="0" borderId="0"/>
    <xf numFmtId="0" fontId="1"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cellStyleXfs>
  <cellXfs count="161">
    <xf numFmtId="0" fontId="0" fillId="0" borderId="0" xfId="0"/>
    <xf numFmtId="0" fontId="4" fillId="0" borderId="0" xfId="0" applyFont="1"/>
    <xf numFmtId="0" fontId="4" fillId="0" borderId="4" xfId="0" applyFont="1" applyBorder="1"/>
    <xf numFmtId="0" fontId="4" fillId="0" borderId="6" xfId="0" applyFont="1" applyBorder="1"/>
    <xf numFmtId="0" fontId="4" fillId="0" borderId="7" xfId="0" applyFont="1" applyBorder="1"/>
    <xf numFmtId="0" fontId="4" fillId="0" borderId="9" xfId="0" applyFont="1" applyBorder="1"/>
    <xf numFmtId="0" fontId="4" fillId="0" borderId="1" xfId="0" applyFont="1" applyBorder="1"/>
    <xf numFmtId="0" fontId="4" fillId="0" borderId="2" xfId="0" applyFont="1" applyBorder="1"/>
    <xf numFmtId="0" fontId="4" fillId="0" borderId="9" xfId="0" applyFont="1" applyBorder="1" applyAlignment="1">
      <alignment vertical="top"/>
    </xf>
    <xf numFmtId="0" fontId="8" fillId="0" borderId="2" xfId="0" applyFont="1" applyBorder="1"/>
    <xf numFmtId="0" fontId="8" fillId="0" borderId="2" xfId="0" applyFont="1" applyBorder="1" applyAlignment="1">
      <alignment horizontal="left"/>
    </xf>
    <xf numFmtId="0" fontId="8" fillId="0" borderId="9" xfId="0" applyFont="1" applyBorder="1" applyAlignment="1">
      <alignment vertical="top"/>
    </xf>
    <xf numFmtId="0" fontId="9" fillId="0" borderId="9" xfId="0" applyFont="1" applyBorder="1"/>
    <xf numFmtId="0" fontId="8" fillId="0" borderId="10" xfId="0" applyFont="1" applyBorder="1" applyAlignment="1">
      <alignment vertical="top"/>
    </xf>
    <xf numFmtId="0" fontId="2" fillId="2" borderId="4" xfId="0" applyFont="1" applyFill="1" applyBorder="1"/>
    <xf numFmtId="0" fontId="2" fillId="2" borderId="0" xfId="0" applyFont="1" applyFill="1"/>
    <xf numFmtId="0" fontId="2" fillId="2" borderId="0" xfId="0" applyFont="1" applyFill="1" applyAlignment="1">
      <alignment horizontal="left"/>
    </xf>
    <xf numFmtId="0" fontId="2" fillId="0" borderId="0" xfId="0"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xf>
    <xf numFmtId="3" fontId="2" fillId="0" borderId="0" xfId="1" applyNumberFormat="1" applyFont="1" applyAlignment="1">
      <alignment horizontal="center" vertical="center"/>
    </xf>
    <xf numFmtId="0" fontId="8" fillId="0" borderId="4" xfId="0" applyFont="1" applyBorder="1" applyAlignment="1">
      <alignment horizontal="center" vertical="center"/>
    </xf>
    <xf numFmtId="167" fontId="13" fillId="0" borderId="12" xfId="0" applyNumberFormat="1" applyFont="1" applyBorder="1" applyAlignment="1">
      <alignment horizontal="center" vertical="center" wrapText="1"/>
    </xf>
    <xf numFmtId="0" fontId="5" fillId="0" borderId="0" xfId="0" applyFont="1" applyAlignment="1">
      <alignment horizontal="center" vertical="center"/>
    </xf>
    <xf numFmtId="166" fontId="12" fillId="0" borderId="0" xfId="1" applyNumberFormat="1" applyFont="1" applyBorder="1" applyAlignment="1">
      <alignment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2" fillId="2" borderId="6" xfId="0" applyFont="1" applyFill="1" applyBorder="1"/>
    <xf numFmtId="0" fontId="2" fillId="2" borderId="7" xfId="0" applyFont="1" applyFill="1" applyBorder="1"/>
    <xf numFmtId="0" fontId="2" fillId="2" borderId="8" xfId="0" applyFont="1" applyFill="1" applyBorder="1"/>
    <xf numFmtId="0" fontId="8" fillId="0" borderId="6" xfId="0" applyFont="1" applyBorder="1" applyAlignment="1">
      <alignment horizontal="center" vertical="center"/>
    </xf>
    <xf numFmtId="0" fontId="4" fillId="0" borderId="7" xfId="0" applyFont="1" applyBorder="1" applyAlignment="1">
      <alignment horizontal="center" vertical="center"/>
    </xf>
    <xf numFmtId="0" fontId="8" fillId="0" borderId="7" xfId="0" applyFont="1" applyBorder="1" applyAlignment="1">
      <alignment horizontal="center" vertical="center"/>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0" fontId="7" fillId="0" borderId="7" xfId="0" applyFont="1" applyBorder="1" applyAlignment="1">
      <alignment horizontal="center" vertical="center"/>
    </xf>
    <xf numFmtId="0" fontId="14" fillId="0" borderId="4" xfId="0" applyFont="1" applyBorder="1" applyAlignment="1">
      <alignment horizontal="center" vertical="center"/>
    </xf>
    <xf numFmtId="0" fontId="12" fillId="0" borderId="0" xfId="0" applyFont="1"/>
    <xf numFmtId="1" fontId="16" fillId="2" borderId="9" xfId="0" applyNumberFormat="1" applyFont="1" applyFill="1" applyBorder="1" applyAlignment="1">
      <alignment horizontal="center" vertical="center"/>
    </xf>
    <xf numFmtId="14" fontId="16" fillId="2" borderId="9" xfId="0" applyNumberFormat="1" applyFont="1" applyFill="1" applyBorder="1" applyAlignment="1">
      <alignment horizontal="center" vertical="center"/>
    </xf>
    <xf numFmtId="166" fontId="2" fillId="0" borderId="0" xfId="1" applyNumberFormat="1" applyFont="1" applyAlignment="1">
      <alignment horizontal="center" vertical="center"/>
    </xf>
    <xf numFmtId="0" fontId="2" fillId="0" borderId="0" xfId="0" applyFont="1" applyAlignment="1">
      <alignment horizontal="righ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166" fontId="10" fillId="0" borderId="0" xfId="1" applyNumberFormat="1" applyFont="1" applyAlignment="1">
      <alignment horizontal="center" vertical="center"/>
    </xf>
    <xf numFmtId="166" fontId="2" fillId="0" borderId="0" xfId="0" applyNumberFormat="1" applyFont="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 fillId="0" borderId="0" xfId="0" applyFont="1" applyAlignment="1">
      <alignment horizontal="right" vertical="center" wrapText="1"/>
    </xf>
    <xf numFmtId="0" fontId="20" fillId="0" borderId="0" xfId="0" applyFont="1" applyAlignment="1">
      <alignment horizontal="center" vertical="center" wrapText="1"/>
    </xf>
    <xf numFmtId="0" fontId="0" fillId="0" borderId="0" xfId="0" applyAlignment="1">
      <alignment horizontal="right" vertical="center" wrapText="1"/>
    </xf>
    <xf numFmtId="0" fontId="21" fillId="0" borderId="0" xfId="0" applyFont="1" applyAlignment="1">
      <alignment horizontal="center" vertical="center" wrapText="1"/>
    </xf>
    <xf numFmtId="14" fontId="2" fillId="0" borderId="0" xfId="0" applyNumberFormat="1" applyFont="1" applyAlignment="1">
      <alignment horizontal="center" vertical="center"/>
    </xf>
    <xf numFmtId="0" fontId="8" fillId="0" borderId="1" xfId="0" applyFont="1" applyBorder="1" applyAlignment="1">
      <alignment horizontal="right"/>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right" vertical="center" wrapText="1"/>
    </xf>
    <xf numFmtId="0" fontId="25" fillId="0" borderId="0" xfId="0" applyFont="1" applyAlignment="1">
      <alignment horizontal="center" vertical="center" wrapText="1"/>
    </xf>
    <xf numFmtId="49" fontId="10" fillId="0" borderId="0" xfId="0" applyNumberFormat="1" applyFont="1" applyAlignment="1">
      <alignment horizontal="center" vertical="center"/>
    </xf>
    <xf numFmtId="14" fontId="29" fillId="0" borderId="0" xfId="0" applyNumberFormat="1" applyFont="1" applyAlignment="1">
      <alignment horizontal="center" vertical="center"/>
    </xf>
    <xf numFmtId="14" fontId="10" fillId="0" borderId="0" xfId="0" applyNumberFormat="1" applyFont="1" applyAlignment="1">
      <alignment horizontal="center" vertical="center"/>
    </xf>
    <xf numFmtId="0" fontId="30" fillId="0" borderId="0" xfId="0" applyFont="1" applyAlignment="1">
      <alignment horizontal="center" vertical="center" wrapText="1"/>
    </xf>
    <xf numFmtId="3" fontId="2" fillId="0" borderId="0" xfId="1" applyNumberFormat="1" applyFont="1" applyFill="1" applyAlignment="1">
      <alignment horizontal="center" vertical="center"/>
    </xf>
    <xf numFmtId="0" fontId="31" fillId="0" borderId="0" xfId="0" applyFont="1" applyAlignment="1">
      <alignment horizontal="center" vertical="center" wrapText="1"/>
    </xf>
    <xf numFmtId="49" fontId="2" fillId="0" borderId="0" xfId="0" applyNumberFormat="1" applyFont="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center" vertical="center"/>
    </xf>
    <xf numFmtId="166" fontId="33" fillId="0" borderId="0" xfId="1" applyNumberFormat="1" applyFont="1" applyAlignment="1">
      <alignment horizontal="center" vertical="center"/>
    </xf>
    <xf numFmtId="166" fontId="34" fillId="0" borderId="0" xfId="1" applyNumberFormat="1" applyFont="1" applyAlignment="1">
      <alignment horizontal="center" vertical="center"/>
    </xf>
    <xf numFmtId="166" fontId="33" fillId="0" borderId="0" xfId="1" applyNumberFormat="1" applyFont="1" applyFill="1" applyAlignment="1">
      <alignment horizontal="center" vertical="center"/>
    </xf>
    <xf numFmtId="166" fontId="35" fillId="0" borderId="0" xfId="1" applyNumberFormat="1" applyFont="1" applyAlignment="1">
      <alignment horizontal="center" vertical="center"/>
    </xf>
    <xf numFmtId="0" fontId="36" fillId="0" borderId="0" xfId="0" applyFont="1" applyAlignment="1">
      <alignment horizontal="center" vertical="center" wrapText="1"/>
    </xf>
    <xf numFmtId="166" fontId="37" fillId="0" borderId="0" xfId="1" applyNumberFormat="1" applyFont="1" applyAlignment="1">
      <alignment horizontal="center" vertical="center"/>
    </xf>
    <xf numFmtId="166" fontId="38" fillId="0" borderId="0" xfId="1" applyNumberFormat="1" applyFont="1" applyAlignment="1">
      <alignment horizontal="center" vertical="center"/>
    </xf>
    <xf numFmtId="166" fontId="39" fillId="0" borderId="0" xfId="1" applyNumberFormat="1" applyFont="1" applyAlignment="1">
      <alignment horizontal="center" vertical="center"/>
    </xf>
    <xf numFmtId="0" fontId="40" fillId="0" borderId="0" xfId="0" applyFont="1" applyAlignment="1">
      <alignment horizontal="center" vertical="center" wrapText="1"/>
    </xf>
    <xf numFmtId="166" fontId="41" fillId="0" borderId="0" xfId="1" applyNumberFormat="1" applyFont="1" applyAlignment="1">
      <alignment horizontal="center" vertical="center"/>
    </xf>
    <xf numFmtId="166" fontId="42" fillId="0" borderId="0" xfId="1" applyNumberFormat="1" applyFont="1" applyAlignment="1">
      <alignment horizontal="center" vertical="center"/>
    </xf>
    <xf numFmtId="0" fontId="43" fillId="0" borderId="0" xfId="0" applyFont="1" applyAlignment="1">
      <alignment horizontal="center" vertical="center" wrapText="1"/>
    </xf>
    <xf numFmtId="166" fontId="44" fillId="0" borderId="0" xfId="1" applyNumberFormat="1" applyFont="1" applyAlignment="1">
      <alignment horizontal="center" vertical="center"/>
    </xf>
    <xf numFmtId="166" fontId="45" fillId="0" borderId="0" xfId="1" applyNumberFormat="1" applyFont="1" applyAlignment="1">
      <alignment horizontal="center" vertical="center"/>
    </xf>
    <xf numFmtId="166" fontId="46" fillId="0" borderId="0" xfId="1" applyNumberFormat="1" applyFont="1" applyAlignment="1">
      <alignment horizontal="center" vertical="center"/>
    </xf>
    <xf numFmtId="0" fontId="47" fillId="0" borderId="0" xfId="0" applyFont="1" applyAlignment="1">
      <alignment horizontal="center" vertical="center" wrapText="1"/>
    </xf>
    <xf numFmtId="166" fontId="48" fillId="0" borderId="0" xfId="1" applyNumberFormat="1" applyFont="1" applyAlignment="1">
      <alignment horizontal="center" vertical="center"/>
    </xf>
    <xf numFmtId="166" fontId="49" fillId="0" borderId="0" xfId="1" applyNumberFormat="1" applyFont="1" applyAlignment="1">
      <alignment horizontal="center" vertical="center"/>
    </xf>
    <xf numFmtId="0" fontId="4" fillId="0" borderId="0" xfId="0" applyFont="1" applyAlignment="1">
      <alignment wrapText="1"/>
    </xf>
    <xf numFmtId="0" fontId="46" fillId="0" borderId="0" xfId="0" applyFont="1" applyAlignment="1">
      <alignment horizontal="right" vertical="center" wrapText="1"/>
    </xf>
    <xf numFmtId="49" fontId="16" fillId="2" borderId="9" xfId="0" applyNumberFormat="1" applyFont="1" applyFill="1" applyBorder="1" applyAlignment="1">
      <alignment horizontal="center" vertical="center"/>
    </xf>
    <xf numFmtId="3" fontId="2" fillId="0" borderId="0" xfId="0" applyNumberFormat="1" applyFont="1" applyAlignment="1">
      <alignment horizontal="center" vertical="center"/>
    </xf>
    <xf numFmtId="0" fontId="50" fillId="0" borderId="0" xfId="0" applyFont="1" applyAlignment="1">
      <alignment horizontal="center" vertical="center" wrapText="1"/>
    </xf>
    <xf numFmtId="166" fontId="51" fillId="0" borderId="0" xfId="1" applyNumberFormat="1" applyFont="1" applyAlignment="1">
      <alignment horizontal="center" vertical="center"/>
    </xf>
    <xf numFmtId="2" fontId="16" fillId="2" borderId="9" xfId="0" applyNumberFormat="1" applyFont="1" applyFill="1" applyBorder="1" applyAlignment="1">
      <alignment horizontal="center" vertical="center"/>
    </xf>
    <xf numFmtId="0" fontId="52" fillId="0" borderId="0" xfId="0" applyFont="1" applyAlignment="1">
      <alignment horizontal="center" vertical="center" wrapText="1"/>
    </xf>
    <xf numFmtId="166" fontId="53" fillId="0" borderId="0" xfId="1" applyNumberFormat="1" applyFont="1" applyAlignment="1">
      <alignment horizontal="center" vertical="center"/>
    </xf>
    <xf numFmtId="166" fontId="2" fillId="0" borderId="0" xfId="1" applyNumberFormat="1" applyFont="1" applyFill="1" applyAlignment="1">
      <alignment horizontal="center" vertical="center"/>
    </xf>
    <xf numFmtId="166" fontId="54" fillId="0" borderId="0" xfId="1" applyNumberFormat="1" applyFont="1" applyAlignment="1">
      <alignment horizontal="center" vertical="center"/>
    </xf>
    <xf numFmtId="3" fontId="2" fillId="3" borderId="0" xfId="1" applyNumberFormat="1" applyFont="1" applyFill="1" applyAlignment="1">
      <alignment horizontal="center" vertical="center"/>
    </xf>
    <xf numFmtId="49" fontId="10" fillId="0" borderId="0" xfId="0" applyNumberFormat="1" applyFont="1" applyAlignment="1">
      <alignment horizontal="center" vertical="center" wrapText="1"/>
    </xf>
    <xf numFmtId="49" fontId="30" fillId="0" borderId="0" xfId="0" applyNumberFormat="1" applyFont="1" applyAlignment="1">
      <alignment horizontal="center" vertical="center" wrapText="1"/>
    </xf>
    <xf numFmtId="49" fontId="25" fillId="0" borderId="0" xfId="0" applyNumberFormat="1" applyFont="1" applyAlignment="1">
      <alignment horizontal="center" vertical="center" wrapText="1"/>
    </xf>
    <xf numFmtId="49" fontId="22"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2" fillId="0" borderId="0" xfId="0" quotePrefix="1" applyFont="1" applyAlignment="1">
      <alignment horizontal="right" vertical="center" wrapText="1"/>
    </xf>
    <xf numFmtId="3" fontId="46" fillId="0" borderId="0" xfId="1" applyNumberFormat="1" applyFont="1" applyAlignment="1">
      <alignment horizontal="center" vertical="center"/>
    </xf>
    <xf numFmtId="14" fontId="55" fillId="0" borderId="0" xfId="0" applyNumberFormat="1" applyFont="1" applyAlignment="1">
      <alignment horizontal="center" vertical="center"/>
    </xf>
    <xf numFmtId="49" fontId="46" fillId="0" borderId="0" xfId="0" applyNumberFormat="1" applyFont="1" applyAlignment="1">
      <alignment horizontal="center" vertical="center"/>
    </xf>
    <xf numFmtId="0" fontId="46" fillId="0" borderId="0" xfId="0" applyFont="1" applyAlignment="1">
      <alignment horizontal="center" vertical="center" wrapText="1"/>
    </xf>
    <xf numFmtId="49" fontId="46" fillId="0" borderId="0" xfId="0" applyNumberFormat="1" applyFont="1" applyAlignment="1">
      <alignment horizontal="center" vertical="center" wrapText="1"/>
    </xf>
    <xf numFmtId="3" fontId="46" fillId="0" borderId="0" xfId="1" applyNumberFormat="1" applyFont="1" applyFill="1" applyAlignment="1">
      <alignment horizontal="center" vertical="center"/>
    </xf>
    <xf numFmtId="3" fontId="24" fillId="0" borderId="0" xfId="1" applyNumberFormat="1" applyFont="1" applyAlignment="1">
      <alignment horizontal="center" vertical="center"/>
    </xf>
    <xf numFmtId="3" fontId="24" fillId="0" borderId="0" xfId="1" applyNumberFormat="1" applyFont="1" applyFill="1" applyAlignment="1">
      <alignment horizontal="center" vertical="center"/>
    </xf>
    <xf numFmtId="0" fontId="55" fillId="0" borderId="0" xfId="0" applyFont="1" applyAlignment="1">
      <alignment horizontal="right" vertical="center" wrapText="1"/>
    </xf>
    <xf numFmtId="49" fontId="24" fillId="0" borderId="0" xfId="0" applyNumberFormat="1" applyFont="1" applyAlignment="1">
      <alignment horizontal="center" vertical="center"/>
    </xf>
    <xf numFmtId="0" fontId="24" fillId="0" borderId="0" xfId="0" applyFont="1" applyAlignment="1">
      <alignment horizontal="center" vertical="center" wrapText="1"/>
    </xf>
    <xf numFmtId="49" fontId="24" fillId="0" borderId="0" xfId="0" applyNumberFormat="1"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2" xfId="0" applyFont="1" applyBorder="1" applyAlignment="1">
      <alignment horizontal="center"/>
    </xf>
    <xf numFmtId="0" fontId="8" fillId="0" borderId="3"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8" fillId="0" borderId="9" xfId="0" applyFont="1" applyBorder="1" applyAlignment="1">
      <alignment horizontal="center" vertical="top"/>
    </xf>
    <xf numFmtId="0" fontId="8" fillId="0" borderId="11" xfId="0" applyFont="1" applyBorder="1" applyAlignment="1">
      <alignment horizontal="center" vertical="top"/>
    </xf>
    <xf numFmtId="166" fontId="5" fillId="0" borderId="10" xfId="1" quotePrefix="1" applyNumberFormat="1" applyFont="1" applyBorder="1" applyAlignment="1">
      <alignment horizontal="right" vertical="center" wrapText="1"/>
    </xf>
    <xf numFmtId="166" fontId="5" fillId="0" borderId="11" xfId="1" applyNumberFormat="1" applyFont="1" applyBorder="1" applyAlignment="1">
      <alignment horizontal="right" vertical="center" wrapText="1"/>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0" xfId="0" applyFont="1" applyFill="1" applyAlignment="1">
      <alignment horizontal="center"/>
    </xf>
    <xf numFmtId="0" fontId="6" fillId="2" borderId="5" xfId="0" applyFont="1" applyFill="1" applyBorder="1" applyAlignment="1">
      <alignment horizontal="center"/>
    </xf>
    <xf numFmtId="2" fontId="10" fillId="2" borderId="5" xfId="0" applyNumberFormat="1" applyFont="1" applyFill="1" applyBorder="1" applyAlignment="1">
      <alignment horizontal="center" vertical="center"/>
    </xf>
    <xf numFmtId="0" fontId="4" fillId="2" borderId="5" xfId="0" applyFont="1" applyFill="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1" fillId="0" borderId="0" xfId="0" applyFont="1" applyAlignment="1">
      <alignment horizontal="right" vertical="center" wrapText="1"/>
    </xf>
    <xf numFmtId="0" fontId="11" fillId="0" borderId="5" xfId="0" applyFont="1" applyBorder="1" applyAlignment="1">
      <alignment horizontal="right" vertical="center" wrapText="1"/>
    </xf>
    <xf numFmtId="0" fontId="4" fillId="2" borderId="9"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2" fontId="10" fillId="0" borderId="7" xfId="0" applyNumberFormat="1" applyFont="1" applyBorder="1" applyAlignment="1">
      <alignment horizontal="center" vertical="center"/>
    </xf>
    <xf numFmtId="2" fontId="10" fillId="0" borderId="8" xfId="0" applyNumberFormat="1" applyFont="1" applyBorder="1" applyAlignment="1">
      <alignment horizontal="center" vertical="center"/>
    </xf>
    <xf numFmtId="166" fontId="11" fillId="0" borderId="10" xfId="1" applyNumberFormat="1" applyFont="1" applyBorder="1" applyAlignment="1">
      <alignment horizontal="right" vertical="center" wrapText="1"/>
    </xf>
    <xf numFmtId="166" fontId="11" fillId="0" borderId="11" xfId="1" applyNumberFormat="1" applyFont="1" applyBorder="1" applyAlignment="1">
      <alignment horizontal="right" vertical="center" wrapText="1"/>
    </xf>
    <xf numFmtId="0" fontId="15" fillId="0" borderId="0" xfId="0" applyFont="1" applyAlignment="1">
      <alignment horizontal="right" vertical="center" wrapText="1"/>
    </xf>
    <xf numFmtId="0" fontId="15" fillId="0" borderId="5" xfId="0" applyFont="1" applyBorder="1" applyAlignment="1">
      <alignment horizontal="right" vertical="center" wrapText="1"/>
    </xf>
    <xf numFmtId="49" fontId="4" fillId="0" borderId="7" xfId="0" applyNumberFormat="1" applyFont="1" applyBorder="1" applyAlignment="1">
      <alignment horizontal="center" vertical="center"/>
    </xf>
    <xf numFmtId="0" fontId="4" fillId="0" borderId="8" xfId="0" applyFont="1" applyBorder="1" applyAlignment="1">
      <alignment horizontal="center" vertical="center"/>
    </xf>
    <xf numFmtId="49" fontId="10" fillId="2" borderId="5" xfId="0" applyNumberFormat="1" applyFont="1" applyFill="1" applyBorder="1" applyAlignment="1">
      <alignment horizontal="center" vertical="center"/>
    </xf>
    <xf numFmtId="14" fontId="10" fillId="2" borderId="5" xfId="0" applyNumberFormat="1" applyFont="1" applyFill="1" applyBorder="1" applyAlignment="1">
      <alignment horizontal="center" vertical="center"/>
    </xf>
    <xf numFmtId="165" fontId="15" fillId="0" borderId="0" xfId="0" applyNumberFormat="1" applyFont="1" applyAlignment="1">
      <alignment horizontal="right" vertical="center" wrapText="1"/>
    </xf>
    <xf numFmtId="165" fontId="15" fillId="0" borderId="5" xfId="0" applyNumberFormat="1" applyFont="1" applyBorder="1" applyAlignment="1">
      <alignment horizontal="right" vertical="center" wrapText="1"/>
    </xf>
    <xf numFmtId="0" fontId="4" fillId="0" borderId="7" xfId="0" applyFont="1" applyBorder="1" applyAlignment="1">
      <alignment horizontal="center" vertical="center"/>
    </xf>
    <xf numFmtId="165" fontId="15" fillId="0" borderId="0" xfId="0" applyNumberFormat="1" applyFont="1" applyAlignment="1">
      <alignment horizontal="right" wrapText="1"/>
    </xf>
    <xf numFmtId="165" fontId="15" fillId="0" borderId="5" xfId="0" applyNumberFormat="1" applyFont="1" applyBorder="1" applyAlignment="1">
      <alignment horizontal="right" wrapText="1"/>
    </xf>
  </cellXfs>
  <cellStyles count="13">
    <cellStyle name="Comma" xfId="1" builtinId="3"/>
    <cellStyle name="Comma [0] 2" xfId="5" xr:uid="{978D9040-2CCD-406B-BC8C-AA48DEC5E523}"/>
    <cellStyle name="Comma 2" xfId="2" xr:uid="{0D2A8305-9E52-41D6-8F22-F1170FFBF2DE}"/>
    <cellStyle name="Comma 3" xfId="4" xr:uid="{EFE0F433-BCBB-4D5D-938D-C253F224964E}"/>
    <cellStyle name="Comma 4" xfId="8" xr:uid="{DC50E284-21D0-44DD-8EC4-C3601B274D00}"/>
    <cellStyle name="Comma 5" xfId="10" xr:uid="{AC20D33F-139F-484B-A348-3A00620FA993}"/>
    <cellStyle name="Comma 6" xfId="11" xr:uid="{1DC439F3-8445-4140-AFC5-E2733EF16EA2}"/>
    <cellStyle name="Comma 7" xfId="12" xr:uid="{C8A73973-4639-4032-8FEF-B436156F3CE6}"/>
    <cellStyle name="Comma 8" xfId="9" xr:uid="{7BD5DEB5-B154-4131-846E-08274F76E0C0}"/>
    <cellStyle name="Normal" xfId="0" builtinId="0"/>
    <cellStyle name="Normal 2" xfId="6" xr:uid="{9CB4F1B0-CEFE-48C9-80EA-3146933EDDC2}"/>
    <cellStyle name="Normal 3" xfId="7" xr:uid="{E9B5E747-37FB-452E-B8EE-4D091E01F496}"/>
    <cellStyle name="Normal 4" xfId="3" xr:uid="{2C942866-5C41-4883-B063-E52BA2B82E24}"/>
  </cellStyles>
  <dxfs count="65">
    <dxf>
      <font>
        <b val="0"/>
        <i val="0"/>
        <strike val="0"/>
        <condense val="0"/>
        <extend val="0"/>
        <outline val="0"/>
        <shadow val="0"/>
        <u val="none"/>
        <vertAlign val="baseline"/>
        <sz val="12"/>
        <color rgb="FF000000"/>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strike val="0"/>
        <outline val="0"/>
        <shadow val="0"/>
        <vertAlign val="baseline"/>
        <color theme="1"/>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strike val="0"/>
        <outline val="0"/>
        <shadow val="0"/>
        <vertAlign val="baseline"/>
        <color theme="1"/>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strike val="0"/>
        <outline val="0"/>
        <shadow val="0"/>
        <vertAlign val="baseline"/>
        <color theme="1"/>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alignment horizontal="right" vertical="center" textRotation="0" wrapText="1" indent="0" justifyLastLine="0" shrinkToFit="0" readingOrder="0"/>
    </dxf>
    <dxf>
      <font>
        <strike val="0"/>
        <outline val="0"/>
        <shadow val="0"/>
        <vertAlign val="baseline"/>
        <color theme="1"/>
      </font>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strike val="0"/>
        <outline val="0"/>
        <shadow val="0"/>
        <vertAlign val="baseline"/>
        <color theme="1"/>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strike val="0"/>
        <outline val="0"/>
        <shadow val="0"/>
        <vertAlign val="baseline"/>
        <color theme="1"/>
      </font>
      <alignment horizontal="center" vertical="center" textRotation="0"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strike val="0"/>
        <outline val="0"/>
        <shadow val="0"/>
        <vertAlign val="baseline"/>
        <color theme="1"/>
      </font>
      <alignment horizontal="center" vertical="center" textRotation="0" wrapText="0" indent="0" justifyLastLine="0" shrinkToFit="0" readingOrder="0"/>
    </dxf>
    <dxf>
      <font>
        <strike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wrapText="0" indent="0" justifyLastLine="0" shrinkToFit="0" readingOrder="0"/>
    </dxf>
    <dxf>
      <font>
        <strike val="0"/>
        <outline val="0"/>
        <shadow val="0"/>
        <vertAlign val="baseline"/>
        <color theme="1"/>
      </font>
      <numFmt numFmtId="3" formatCode="#,##0"/>
      <alignment horizontal="center" vertical="center" textRotation="0" wrapText="0" indent="0" justifyLastLine="0" shrinkToFit="0" readingOrder="0"/>
    </dxf>
    <dxf>
      <font>
        <strike val="0"/>
        <outline val="0"/>
        <shadow val="0"/>
        <vertAlign val="baseline"/>
        <color theme="1"/>
      </font>
      <numFmt numFmtId="3" formatCode="#,##0"/>
      <alignment horizontal="center" vertical="center" textRotation="0" wrapText="0" indent="0" justifyLastLine="0" shrinkToFit="0" readingOrder="0"/>
    </dxf>
    <dxf>
      <font>
        <strike val="0"/>
        <outline val="0"/>
        <shadow val="0"/>
        <vertAlign val="baseline"/>
        <color theme="1"/>
      </font>
      <numFmt numFmtId="3" formatCode="#,##0"/>
      <alignment horizontal="center" vertical="center" textRotation="0" wrapText="0" indent="0" justifyLastLine="0" shrinkToFit="0" readingOrder="0"/>
    </dxf>
    <dxf>
      <font>
        <strike val="0"/>
        <outline val="0"/>
        <shadow val="0"/>
        <vertAlign val="baseline"/>
        <color theme="1"/>
      </font>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1" indent="0" justifyLastLine="0" shrinkToFit="0" readingOrder="0"/>
    </dxf>
    <dxf>
      <font>
        <strike val="0"/>
        <outline val="0"/>
        <shadow val="0"/>
        <vertAlign val="baseline"/>
        <color theme="1"/>
      </font>
      <alignment horizontal="center" vertical="center" textRotation="0" wrapText="0" indent="0" justifyLastLine="0" shrinkToFit="0" readingOrder="0"/>
    </dxf>
    <dxf>
      <font>
        <strike val="0"/>
        <outline val="0"/>
        <shadow val="0"/>
        <vertAlign val="baseline"/>
        <color theme="1"/>
      </font>
      <alignment horizontal="center" vertical="center" textRotation="0" indent="0" justifyLastLine="0" shrinkToFit="0" readingOrder="0"/>
    </dxf>
    <dxf>
      <font>
        <strike val="0"/>
        <outline val="0"/>
        <shadow val="0"/>
        <vertAlign val="baseline"/>
        <color theme="1"/>
      </font>
      <alignment horizontal="center" vertical="center" textRotation="0" wrapText="0" indent="0" justifyLastLine="0" shrinkToFit="0" readingOrder="0"/>
    </dxf>
    <dxf>
      <font>
        <strike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strike val="0"/>
        <outline val="0"/>
        <shadow val="0"/>
        <vertAlign val="baseline"/>
        <color theme="1"/>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strike val="0"/>
        <outline val="0"/>
        <shadow val="0"/>
        <vertAlign val="baseline"/>
        <color theme="1"/>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strike val="0"/>
        <outline val="0"/>
        <shadow val="0"/>
        <vertAlign val="baseline"/>
        <color theme="1"/>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alignment horizontal="right" vertical="center" textRotation="0" wrapText="1" indent="0" justifyLastLine="0" shrinkToFit="0" readingOrder="0"/>
    </dxf>
    <dxf>
      <font>
        <strike val="0"/>
        <outline val="0"/>
        <shadow val="0"/>
        <vertAlign val="baseline"/>
        <color theme="1"/>
      </font>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strike val="0"/>
        <outline val="0"/>
        <shadow val="0"/>
        <vertAlign val="baseline"/>
        <color theme="1"/>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strike val="0"/>
        <outline val="0"/>
        <shadow val="0"/>
        <vertAlign val="baseline"/>
        <color theme="1"/>
      </font>
      <alignment horizontal="center" vertical="center" textRotation="0"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strike val="0"/>
        <outline val="0"/>
        <shadow val="0"/>
        <vertAlign val="baseline"/>
        <color theme="1"/>
      </font>
      <alignment horizontal="center" vertical="center" textRotation="0" wrapText="0" indent="0" justifyLastLine="0" shrinkToFit="0" readingOrder="0"/>
    </dxf>
    <dxf>
      <font>
        <strike val="0"/>
        <outline val="0"/>
        <shadow val="0"/>
        <u val="none"/>
        <vertAlign val="baseline"/>
        <sz val="12"/>
        <color theme="1"/>
        <name val="B Nazanin"/>
        <scheme val="none"/>
      </font>
      <numFmt numFmtId="166" formatCode="_-* #,##0_-;_-* #,##0\-;_-* &quot;-&quot;??_-;_-@_-"/>
      <alignment horizontal="center" vertical="center" textRotation="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indent="0" justifyLastLine="0" shrinkToFit="0" readingOrder="0"/>
    </dxf>
    <dxf>
      <font>
        <b/>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essor-Excel-Tools.xla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japalaghi/Desktop/Professor-Excel-Tool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abh"/>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rofessor-Excel-Tools"/>
    </sheetNames>
    <definedNames>
      <definedName name="abh"/>
    </defined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3:H158" totalsRowCount="1" headerRowDxfId="64" dataDxfId="63" totalsRowDxfId="62" headerRowCellStyle="Comma" dataCellStyle="Comma">
  <autoFilter ref="A3:H157" xr:uid="{00000000-0009-0000-0100-000001000000}"/>
  <tableColumns count="8">
    <tableColumn id="1" xr3:uid="{00000000-0010-0000-0100-000001000000}" name="ردیف" dataDxfId="61" totalsRowDxfId="60"/>
    <tableColumn id="2" xr3:uid="{00000000-0010-0000-0100-000002000000}" name="تاریخ" dataDxfId="59" totalsRowDxfId="58"/>
    <tableColumn id="3" xr3:uid="{00000000-0010-0000-0100-000003000000}" name="شماره چک" dataDxfId="57" totalsRowDxfId="56"/>
    <tableColumn id="8" xr3:uid="{00000000-0010-0000-0100-000008000000}" name="در وجه" dataDxfId="55" totalsRowDxfId="54"/>
    <tableColumn id="4" xr3:uid="{00000000-0010-0000-0100-000004000000}" name="بابت" dataDxfId="53" totalsRowDxfId="52"/>
    <tableColumn id="5" xr3:uid="{00000000-0010-0000-0100-000005000000}" name="مبلغ ورود" totalsRowFunction="sum" dataDxfId="51" totalsRowDxfId="50" dataCellStyle="Comma"/>
    <tableColumn id="6" xr3:uid="{00000000-0010-0000-0100-000006000000}" name="مبلغ خروج" totalsRowFunction="sum" dataDxfId="49" totalsRowDxfId="48" dataCellStyle="Comma"/>
    <tableColumn id="7" xr3:uid="{00000000-0010-0000-0100-000007000000}" name="مانده" totalsRowFunction="custom" dataDxfId="47" totalsRowDxfId="46" dataCellStyle="Comma">
      <calculatedColumnFormula>H3+F4-G4</calculatedColumnFormula>
      <totalsRowFormula>Table1[[#Totals],[مبلغ ورود]]-Table1[[#Totals],[مبلغ خروج]]</totalsRowFormula>
    </tableColumn>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DE4F098-E77E-4F22-8107-EA44079D9914}" name="Table14" displayName="Table14" ref="A3:J306" totalsRowCount="1" headerRowDxfId="45" dataDxfId="44" totalsRowDxfId="43" headerRowCellStyle="Comma" dataCellStyle="Comma">
  <autoFilter ref="A3:J305" xr:uid="{00000000-0009-0000-0100-000001000000}"/>
  <tableColumns count="10">
    <tableColumn id="1" xr3:uid="{4DEC37CA-13AF-431E-9EE3-CBCC94044C27}" name="ردیف" dataDxfId="42" totalsRowDxfId="9"/>
    <tableColumn id="2" xr3:uid="{D4857500-6259-48B5-9FEE-A5BE4E066923}" name="تاریخ" dataDxfId="41" totalsRowDxfId="8"/>
    <tableColumn id="3" xr3:uid="{C79C7E7F-FC82-4A15-B03B-2330AE6B8807}" name="شماره چک" dataDxfId="40" totalsRowDxfId="7"/>
    <tableColumn id="8" xr3:uid="{36E82A8F-B93F-4E98-8B9F-8ABE6D9F3E7A}" name="در وجه" dataDxfId="39" totalsRowDxfId="6"/>
    <tableColumn id="10" xr3:uid="{D4FA1ADC-2FDD-4AC6-B831-333A06899A71}" name="Column1" dataDxfId="38" totalsRowDxfId="5"/>
    <tableColumn id="4" xr3:uid="{F3400FC5-63E0-4C8F-8B88-8CA27B5C7B70}" name="بابت" dataDxfId="37" totalsRowDxfId="4"/>
    <tableColumn id="5" xr3:uid="{9A271500-991F-41A5-AAAC-6D20828B94D1}" name="مبلغ ورود" totalsRowFunction="sum" dataDxfId="36" totalsRowDxfId="3" dataCellStyle="Comma"/>
    <tableColumn id="6" xr3:uid="{03613169-4CB2-49ED-A3D2-23DB7DDD3467}" name="مبلغ خروج" totalsRowFunction="sum" dataDxfId="35" totalsRowDxfId="2" dataCellStyle="Comma"/>
    <tableColumn id="7" xr3:uid="{E1DE3E80-9B0B-429E-94F0-934FA4337E99}" name="مانده" totalsRowFunction="custom" dataDxfId="34" totalsRowDxfId="1" dataCellStyle="Comma">
      <calculatedColumnFormula>I3+G4-H4</calculatedColumnFormula>
      <totalsRowFormula>Table14[[#Totals],[مبلغ ورود]]-Table14[[#Totals],[مبلغ خروج]]</totalsRowFormula>
    </tableColumn>
    <tableColumn id="9" xr3:uid="{C83AF3EA-17DF-4620-B55A-7D5E42107265}" name="Column2" dataDxfId="33" totalsRowDxfId="0" dataCellStyle="Comma"/>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695591-457F-4987-BE18-ECDA13A9529A}" name="Table143" displayName="Table143" ref="A3:J105" totalsRowCount="1" headerRowDxfId="32" dataDxfId="31" totalsRowDxfId="30" headerRowCellStyle="Comma" dataCellStyle="Comma">
  <autoFilter ref="A3:J104" xr:uid="{00000000-0009-0000-0100-000001000000}"/>
  <tableColumns count="10">
    <tableColumn id="1" xr3:uid="{1CDBF26B-2948-4660-9A4A-C73922FC644B}" name="ردیف" dataDxfId="29" totalsRowDxfId="28"/>
    <tableColumn id="2" xr3:uid="{526FE88E-6BED-4DF8-9C90-CAF82F1F0FCA}" name="تاریخ" dataDxfId="27" totalsRowDxfId="26"/>
    <tableColumn id="3" xr3:uid="{A0655A68-DB5E-437E-A590-5BD7E6CFF460}" name="شماره چک" dataDxfId="25" totalsRowDxfId="24"/>
    <tableColumn id="8" xr3:uid="{ADD67D86-5103-436D-A8BA-C7B7D50884CF}" name="در وجه" dataDxfId="23" totalsRowDxfId="22"/>
    <tableColumn id="10" xr3:uid="{407A857C-1B2C-47FF-A99C-D4E6365F2F76}" name="Column1" dataDxfId="21" totalsRowDxfId="20"/>
    <tableColumn id="4" xr3:uid="{F70C6B1D-5915-442E-AE5C-36DEE5E39461}" name="بابت" dataDxfId="19" totalsRowDxfId="18"/>
    <tableColumn id="5" xr3:uid="{1B8FE1DD-D2DF-4131-92D8-972504AEE837}" name="مبلغ ورود" totalsRowFunction="sum" dataDxfId="17" totalsRowDxfId="16" dataCellStyle="Comma"/>
    <tableColumn id="6" xr3:uid="{5B9253CB-2DF5-4B1B-AB3A-830E2DBEEE99}" name="مبلغ خروج" totalsRowFunction="sum" dataDxfId="15" totalsRowDxfId="14" dataCellStyle="Comma"/>
    <tableColumn id="7" xr3:uid="{02099E56-27B7-4167-814E-62F587D3E623}" name="مانده" totalsRowFunction="custom" dataDxfId="13" totalsRowDxfId="12" dataCellStyle="Comma">
      <calculatedColumnFormula>I3+G4-H4</calculatedColumnFormula>
      <totalsRowFormula>Table143[[#Totals],[مبلغ ورود]]-Table143[[#Totals],[مبلغ خروج]]</totalsRowFormula>
    </tableColumn>
    <tableColumn id="9" xr3:uid="{02C4EA39-C061-42A3-B29A-FB5C07409373}" name="Column2" dataDxfId="11" totalsRowDxfId="10" dataCellStyle="Comma"/>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58"/>
  <sheetViews>
    <sheetView rightToLeft="1" view="pageBreakPreview" topLeftCell="A139" zoomScaleNormal="100" zoomScaleSheetLayoutView="100" workbookViewId="0">
      <selection activeCell="E145" sqref="E145"/>
    </sheetView>
  </sheetViews>
  <sheetFormatPr defaultColWidth="9.140625" defaultRowHeight="38.25" customHeight="1"/>
  <cols>
    <col min="1" max="1" width="6.85546875" style="17" bestFit="1" customWidth="1"/>
    <col min="2" max="2" width="11" style="17" bestFit="1" customWidth="1"/>
    <col min="3" max="3" width="11.140625" style="17" bestFit="1" customWidth="1"/>
    <col min="4" max="4" width="15.85546875" style="18" customWidth="1"/>
    <col min="5" max="5" width="80.85546875" style="41" customWidth="1"/>
    <col min="6" max="6" width="18.7109375" style="40" customWidth="1"/>
    <col min="7" max="7" width="18.85546875" style="40" bestFit="1" customWidth="1"/>
    <col min="8" max="8" width="18.42578125" style="40" customWidth="1"/>
    <col min="9" max="16384" width="9.140625" style="17"/>
  </cols>
  <sheetData>
    <row r="1" spans="1:8" ht="38.25" customHeight="1">
      <c r="A1" s="115" t="s">
        <v>7</v>
      </c>
      <c r="B1" s="116"/>
      <c r="C1" s="116"/>
      <c r="D1" s="116"/>
      <c r="E1" s="116"/>
      <c r="F1" s="116"/>
      <c r="G1" s="116"/>
      <c r="H1" s="117"/>
    </row>
    <row r="2" spans="1:8" ht="38.25" customHeight="1" thickBot="1">
      <c r="A2" s="118" t="s">
        <v>28</v>
      </c>
      <c r="B2" s="119"/>
      <c r="C2" s="119"/>
      <c r="D2" s="119"/>
      <c r="E2" s="119"/>
      <c r="F2" s="119"/>
      <c r="G2" s="119"/>
      <c r="H2" s="120"/>
    </row>
    <row r="3" spans="1:8" ht="38.25" customHeight="1">
      <c r="A3" s="42" t="s">
        <v>0</v>
      </c>
      <c r="B3" s="42" t="s">
        <v>1</v>
      </c>
      <c r="C3" s="42" t="s">
        <v>2</v>
      </c>
      <c r="D3" s="43" t="s">
        <v>18</v>
      </c>
      <c r="E3" s="43" t="s">
        <v>19</v>
      </c>
      <c r="F3" s="44" t="s">
        <v>3</v>
      </c>
      <c r="G3" s="44" t="s">
        <v>4</v>
      </c>
      <c r="H3" s="44" t="s">
        <v>5</v>
      </c>
    </row>
    <row r="4" spans="1:8" ht="38.25" customHeight="1">
      <c r="A4" s="17">
        <v>1</v>
      </c>
      <c r="B4" s="17" t="s">
        <v>27</v>
      </c>
      <c r="E4" s="41" t="s">
        <v>6</v>
      </c>
      <c r="F4" s="20">
        <v>253841424</v>
      </c>
      <c r="G4" s="20">
        <v>0</v>
      </c>
      <c r="H4" s="20">
        <f>Table1[[#This Row],[مبلغ ورود]]-Table1[[#This Row],[مبلغ خروج]]</f>
        <v>253841424</v>
      </c>
    </row>
    <row r="5" spans="1:8" ht="38.25" customHeight="1">
      <c r="A5" s="17">
        <v>2</v>
      </c>
      <c r="B5" s="17" t="s">
        <v>36</v>
      </c>
      <c r="C5" s="19" t="s">
        <v>33</v>
      </c>
      <c r="D5" s="18" t="s">
        <v>26</v>
      </c>
      <c r="E5" s="41" t="s">
        <v>37</v>
      </c>
      <c r="F5" s="20"/>
      <c r="G5" s="20">
        <v>55000000</v>
      </c>
      <c r="H5" s="20">
        <f>H4+Table1[[#This Row],[مبلغ ورود]]-Table1[[#This Row],[مبلغ خروج]]</f>
        <v>198841424</v>
      </c>
    </row>
    <row r="6" spans="1:8" ht="38.25" customHeight="1">
      <c r="A6" s="17">
        <v>3</v>
      </c>
      <c r="B6" s="17" t="s">
        <v>38</v>
      </c>
      <c r="C6" s="19" t="s">
        <v>34</v>
      </c>
      <c r="D6" s="18" t="s">
        <v>26</v>
      </c>
      <c r="E6" s="41" t="s">
        <v>39</v>
      </c>
      <c r="F6" s="20"/>
      <c r="G6" s="20">
        <f>39541846+39541846</f>
        <v>79083692</v>
      </c>
      <c r="H6" s="20">
        <f>H5+Table1[[#This Row],[مبلغ ورود]]-Table1[[#This Row],[مبلغ خروج]]</f>
        <v>119757732</v>
      </c>
    </row>
    <row r="7" spans="1:8" ht="38.25" customHeight="1">
      <c r="A7" s="17">
        <v>4</v>
      </c>
      <c r="B7" s="17" t="s">
        <v>41</v>
      </c>
      <c r="C7" s="19" t="s">
        <v>35</v>
      </c>
      <c r="D7" s="18" t="s">
        <v>26</v>
      </c>
      <c r="E7" s="41" t="s">
        <v>42</v>
      </c>
      <c r="F7" s="20"/>
      <c r="G7" s="20">
        <v>674571420</v>
      </c>
      <c r="H7" s="20">
        <f>H6+Table1[[#This Row],[مبلغ ورود]]-Table1[[#This Row],[مبلغ خروج]]</f>
        <v>-554813688</v>
      </c>
    </row>
    <row r="8" spans="1:8" ht="38.25" customHeight="1">
      <c r="A8" s="17">
        <v>5</v>
      </c>
      <c r="B8" s="17" t="s">
        <v>41</v>
      </c>
      <c r="C8" s="19" t="s">
        <v>40</v>
      </c>
      <c r="D8" s="18" t="s">
        <v>26</v>
      </c>
      <c r="E8" s="41" t="s">
        <v>43</v>
      </c>
      <c r="F8" s="20"/>
      <c r="G8" s="20">
        <v>24388992</v>
      </c>
      <c r="H8" s="20">
        <f>H7+Table1[[#This Row],[مبلغ ورود]]-Table1[[#This Row],[مبلغ خروج]]</f>
        <v>-579202680</v>
      </c>
    </row>
    <row r="9" spans="1:8" ht="38.25" customHeight="1">
      <c r="A9" s="17">
        <v>6</v>
      </c>
      <c r="B9" s="17" t="s">
        <v>41</v>
      </c>
      <c r="C9" s="19"/>
      <c r="D9" s="46"/>
      <c r="E9" s="41" t="s">
        <v>44</v>
      </c>
      <c r="F9" s="20">
        <v>1000000000</v>
      </c>
      <c r="G9" s="20"/>
      <c r="H9" s="20">
        <f>H8+Table1[[#This Row],[مبلغ ورود]]-Table1[[#This Row],[مبلغ خروج]]</f>
        <v>420797320</v>
      </c>
    </row>
    <row r="10" spans="1:8" ht="38.25" customHeight="1">
      <c r="A10" s="17">
        <v>7</v>
      </c>
      <c r="B10" s="17" t="s">
        <v>47</v>
      </c>
      <c r="C10" s="19" t="s">
        <v>45</v>
      </c>
      <c r="D10" s="18" t="s">
        <v>26</v>
      </c>
      <c r="E10" s="41" t="s">
        <v>48</v>
      </c>
      <c r="F10" s="20"/>
      <c r="G10" s="20">
        <v>86327028</v>
      </c>
      <c r="H10" s="20">
        <f>H9+Table1[[#This Row],[مبلغ ورود]]-Table1[[#This Row],[مبلغ خروج]]</f>
        <v>334470292</v>
      </c>
    </row>
    <row r="11" spans="1:8" ht="38.25" customHeight="1">
      <c r="A11" s="17">
        <v>8</v>
      </c>
      <c r="B11" s="17" t="s">
        <v>47</v>
      </c>
      <c r="C11" s="19" t="s">
        <v>46</v>
      </c>
      <c r="D11" s="18" t="s">
        <v>26</v>
      </c>
      <c r="E11" s="41" t="s">
        <v>49</v>
      </c>
      <c r="F11" s="20"/>
      <c r="G11" s="20">
        <v>71432613</v>
      </c>
      <c r="H11" s="20">
        <f>H10+Table1[[#This Row],[مبلغ ورود]]-Table1[[#This Row],[مبلغ خروج]]</f>
        <v>263037679</v>
      </c>
    </row>
    <row r="12" spans="1:8" ht="38.25" customHeight="1">
      <c r="A12" s="17">
        <v>9</v>
      </c>
      <c r="B12" s="17" t="s">
        <v>51</v>
      </c>
      <c r="C12" s="19" t="s">
        <v>50</v>
      </c>
      <c r="D12" s="18" t="s">
        <v>26</v>
      </c>
      <c r="E12" s="41" t="s">
        <v>52</v>
      </c>
      <c r="F12" s="20"/>
      <c r="G12" s="20">
        <v>55000000</v>
      </c>
      <c r="H12" s="20">
        <f>H11+Table1[[#This Row],[مبلغ ورود]]-Table1[[#This Row],[مبلغ خروج]]</f>
        <v>208037679</v>
      </c>
    </row>
    <row r="13" spans="1:8" ht="38.25" customHeight="1">
      <c r="A13" s="17">
        <v>10</v>
      </c>
      <c r="B13" s="17" t="s">
        <v>57</v>
      </c>
      <c r="C13" s="19" t="s">
        <v>53</v>
      </c>
      <c r="D13" s="18" t="s">
        <v>26</v>
      </c>
      <c r="E13" s="41" t="s">
        <v>58</v>
      </c>
      <c r="F13" s="20"/>
      <c r="G13" s="20">
        <v>218362768</v>
      </c>
      <c r="H13" s="20">
        <f>H12+Table1[[#This Row],[مبلغ ورود]]-Table1[[#This Row],[مبلغ خروج]]</f>
        <v>-10325089</v>
      </c>
    </row>
    <row r="14" spans="1:8" ht="38.25" customHeight="1">
      <c r="A14" s="17">
        <v>11</v>
      </c>
      <c r="B14" s="17" t="s">
        <v>57</v>
      </c>
      <c r="C14" s="19" t="s">
        <v>54</v>
      </c>
      <c r="D14" s="18" t="s">
        <v>26</v>
      </c>
      <c r="E14" s="41" t="s">
        <v>59</v>
      </c>
      <c r="F14" s="20"/>
      <c r="G14" s="20">
        <v>31838274</v>
      </c>
      <c r="H14" s="20">
        <f>H13+Table1[[#This Row],[مبلغ ورود]]-Table1[[#This Row],[مبلغ خروج]]</f>
        <v>-42163363</v>
      </c>
    </row>
    <row r="15" spans="1:8" ht="38.25" customHeight="1">
      <c r="A15" s="17">
        <v>12</v>
      </c>
      <c r="B15" s="17" t="s">
        <v>57</v>
      </c>
      <c r="C15" s="19" t="s">
        <v>55</v>
      </c>
      <c r="D15" s="18" t="s">
        <v>26</v>
      </c>
      <c r="E15" s="41" t="s">
        <v>60</v>
      </c>
      <c r="F15" s="20"/>
      <c r="G15" s="20">
        <v>30081584</v>
      </c>
      <c r="H15" s="20">
        <f>H14+Table1[[#This Row],[مبلغ ورود]]-Table1[[#This Row],[مبلغ خروج]]</f>
        <v>-72244947</v>
      </c>
    </row>
    <row r="16" spans="1:8" ht="56.25">
      <c r="A16" s="17">
        <v>13</v>
      </c>
      <c r="B16" s="17" t="s">
        <v>57</v>
      </c>
      <c r="C16" s="19" t="s">
        <v>56</v>
      </c>
      <c r="D16" s="18" t="s">
        <v>26</v>
      </c>
      <c r="E16" s="41" t="s">
        <v>61</v>
      </c>
      <c r="F16" s="20"/>
      <c r="G16" s="20">
        <v>81310571</v>
      </c>
      <c r="H16" s="20">
        <f>H15+Table1[[#This Row],[مبلغ ورود]]-Table1[[#This Row],[مبلغ خروج]]</f>
        <v>-153555518</v>
      </c>
    </row>
    <row r="17" spans="1:8" ht="38.25" customHeight="1">
      <c r="A17" s="17">
        <v>14</v>
      </c>
      <c r="B17" s="17" t="s">
        <v>57</v>
      </c>
      <c r="C17" s="19" t="s">
        <v>62</v>
      </c>
      <c r="D17" s="18" t="s">
        <v>26</v>
      </c>
      <c r="E17" s="41" t="s">
        <v>64</v>
      </c>
      <c r="F17" s="20"/>
      <c r="G17" s="20">
        <v>51091547</v>
      </c>
      <c r="H17" s="20">
        <f>H16+Table1[[#This Row],[مبلغ ورود]]-Table1[[#This Row],[مبلغ خروج]]</f>
        <v>-204647065</v>
      </c>
    </row>
    <row r="18" spans="1:8" ht="38.25" customHeight="1">
      <c r="A18" s="17">
        <v>15</v>
      </c>
      <c r="B18" s="17" t="s">
        <v>57</v>
      </c>
      <c r="C18" s="19" t="s">
        <v>63</v>
      </c>
      <c r="D18" s="18" t="s">
        <v>26</v>
      </c>
      <c r="E18" s="41" t="s">
        <v>65</v>
      </c>
      <c r="F18" s="20"/>
      <c r="G18" s="20">
        <v>51091547</v>
      </c>
      <c r="H18" s="20">
        <f>H17+Table1[[#This Row],[مبلغ ورود]]-Table1[[#This Row],[مبلغ خروج]]</f>
        <v>-255738612</v>
      </c>
    </row>
    <row r="19" spans="1:8" ht="38.25" customHeight="1">
      <c r="A19" s="17">
        <v>16</v>
      </c>
      <c r="B19" s="17" t="s">
        <v>69</v>
      </c>
      <c r="C19" s="19"/>
      <c r="E19" s="41" t="s">
        <v>44</v>
      </c>
      <c r="F19" s="20">
        <v>500000000</v>
      </c>
      <c r="G19" s="20"/>
      <c r="H19" s="20">
        <f>H18+Table1[[#This Row],[مبلغ ورود]]-Table1[[#This Row],[مبلغ خروج]]</f>
        <v>244261388</v>
      </c>
    </row>
    <row r="20" spans="1:8" ht="38.25" customHeight="1">
      <c r="A20" s="17">
        <v>17</v>
      </c>
      <c r="B20" s="17" t="s">
        <v>67</v>
      </c>
      <c r="C20" s="19" t="s">
        <v>66</v>
      </c>
      <c r="D20" s="18" t="s">
        <v>26</v>
      </c>
      <c r="E20" s="41" t="s">
        <v>68</v>
      </c>
      <c r="F20" s="20"/>
      <c r="G20" s="20">
        <v>55000000</v>
      </c>
      <c r="H20" s="20">
        <f>H19+Table1[[#This Row],[مبلغ ورود]]-Table1[[#This Row],[مبلغ خروج]]</f>
        <v>189261388</v>
      </c>
    </row>
    <row r="21" spans="1:8" ht="38.25" customHeight="1">
      <c r="A21" s="17">
        <v>18</v>
      </c>
      <c r="B21" s="17" t="s">
        <v>67</v>
      </c>
      <c r="C21" s="19" t="s">
        <v>70</v>
      </c>
      <c r="D21" s="18" t="s">
        <v>26</v>
      </c>
      <c r="E21" s="41" t="s">
        <v>71</v>
      </c>
      <c r="F21" s="20"/>
      <c r="G21" s="20">
        <v>235803960</v>
      </c>
      <c r="H21" s="20">
        <f>H20+Table1[[#This Row],[مبلغ ورود]]-Table1[[#This Row],[مبلغ خروج]]</f>
        <v>-46542572</v>
      </c>
    </row>
    <row r="22" spans="1:8" ht="38.25" customHeight="1">
      <c r="A22" s="17">
        <v>19</v>
      </c>
      <c r="B22" s="17" t="s">
        <v>67</v>
      </c>
      <c r="C22" s="19" t="s">
        <v>73</v>
      </c>
      <c r="D22" s="18" t="s">
        <v>26</v>
      </c>
      <c r="E22" s="41" t="s">
        <v>72</v>
      </c>
      <c r="F22" s="20"/>
      <c r="G22" s="20">
        <v>31838274</v>
      </c>
      <c r="H22" s="20">
        <f>H21+Table1[[#This Row],[مبلغ ورود]]-Table1[[#This Row],[مبلغ خروج]]</f>
        <v>-78380846</v>
      </c>
    </row>
    <row r="23" spans="1:8" ht="38.25" customHeight="1">
      <c r="A23" s="17">
        <v>20</v>
      </c>
      <c r="B23" s="17" t="s">
        <v>67</v>
      </c>
      <c r="C23" s="19" t="s">
        <v>74</v>
      </c>
      <c r="D23" s="18" t="s">
        <v>26</v>
      </c>
      <c r="E23" s="41" t="s">
        <v>75</v>
      </c>
      <c r="F23" s="20"/>
      <c r="G23" s="20">
        <v>34071488</v>
      </c>
      <c r="H23" s="20">
        <f>H22+Table1[[#This Row],[مبلغ ورود]]-Table1[[#This Row],[مبلغ خروج]]</f>
        <v>-112452334</v>
      </c>
    </row>
    <row r="24" spans="1:8" ht="51" customHeight="1">
      <c r="A24" s="17">
        <v>21</v>
      </c>
      <c r="B24" s="17" t="s">
        <v>67</v>
      </c>
      <c r="C24" s="19" t="s">
        <v>77</v>
      </c>
      <c r="D24" s="18" t="s">
        <v>26</v>
      </c>
      <c r="E24" s="41" t="s">
        <v>76</v>
      </c>
      <c r="F24" s="20"/>
      <c r="G24" s="20">
        <v>85435829</v>
      </c>
      <c r="H24" s="20">
        <f>H23+Table1[[#This Row],[مبلغ ورود]]-Table1[[#This Row],[مبلغ خروج]]</f>
        <v>-197888163</v>
      </c>
    </row>
    <row r="25" spans="1:8" ht="38.25" customHeight="1">
      <c r="A25" s="17">
        <v>22</v>
      </c>
      <c r="B25" s="17" t="s">
        <v>67</v>
      </c>
      <c r="C25" s="19" t="s">
        <v>78</v>
      </c>
      <c r="D25" s="18" t="s">
        <v>26</v>
      </c>
      <c r="E25" s="41" t="s">
        <v>80</v>
      </c>
      <c r="F25" s="20"/>
      <c r="G25" s="20">
        <v>52244737</v>
      </c>
      <c r="H25" s="20">
        <f>H24+Table1[[#This Row],[مبلغ ورود]]-Table1[[#This Row],[مبلغ خروج]]</f>
        <v>-250132900</v>
      </c>
    </row>
    <row r="26" spans="1:8" ht="38.25" customHeight="1">
      <c r="A26" s="17">
        <v>23</v>
      </c>
      <c r="B26" s="17" t="s">
        <v>67</v>
      </c>
      <c r="C26" s="19" t="s">
        <v>79</v>
      </c>
      <c r="D26" s="18" t="s">
        <v>26</v>
      </c>
      <c r="E26" s="41" t="s">
        <v>81</v>
      </c>
      <c r="F26" s="20"/>
      <c r="G26" s="20">
        <v>52244737</v>
      </c>
      <c r="H26" s="20">
        <f>H25+Table1[[#This Row],[مبلغ ورود]]-Table1[[#This Row],[مبلغ خروج]]</f>
        <v>-302377637</v>
      </c>
    </row>
    <row r="27" spans="1:8" ht="38.25" customHeight="1">
      <c r="A27" s="17">
        <v>24</v>
      </c>
      <c r="B27" s="17" t="s">
        <v>67</v>
      </c>
      <c r="C27" s="19"/>
      <c r="E27" s="41" t="s">
        <v>44</v>
      </c>
      <c r="F27" s="20">
        <v>500000000</v>
      </c>
      <c r="G27" s="20"/>
      <c r="H27" s="20">
        <f>H26+Table1[[#This Row],[مبلغ ورود]]-Table1[[#This Row],[مبلغ خروج]]</f>
        <v>197622363</v>
      </c>
    </row>
    <row r="28" spans="1:8" ht="38.25" customHeight="1">
      <c r="A28" s="17">
        <v>25</v>
      </c>
      <c r="B28" s="17" t="s">
        <v>82</v>
      </c>
      <c r="C28" s="19" t="s">
        <v>83</v>
      </c>
      <c r="D28" s="18" t="s">
        <v>26</v>
      </c>
      <c r="E28" s="41" t="s">
        <v>84</v>
      </c>
      <c r="F28" s="20"/>
      <c r="G28" s="20">
        <v>55000000</v>
      </c>
      <c r="H28" s="20">
        <f>H27+Table1[[#This Row],[مبلغ ورود]]-Table1[[#This Row],[مبلغ خروج]]</f>
        <v>142622363</v>
      </c>
    </row>
    <row r="29" spans="1:8" ht="38.25" customHeight="1">
      <c r="A29" s="17">
        <v>26</v>
      </c>
      <c r="B29" s="17" t="s">
        <v>82</v>
      </c>
      <c r="C29" s="19" t="s">
        <v>85</v>
      </c>
      <c r="D29" s="18" t="s">
        <v>26</v>
      </c>
      <c r="E29" s="41" t="s">
        <v>87</v>
      </c>
      <c r="F29" s="20"/>
      <c r="G29" s="20">
        <v>51684258</v>
      </c>
      <c r="H29" s="20">
        <f>H28+Table1[[#This Row],[مبلغ ورود]]-Table1[[#This Row],[مبلغ خروج]]</f>
        <v>90938105</v>
      </c>
    </row>
    <row r="30" spans="1:8" ht="38.25" customHeight="1">
      <c r="A30" s="17">
        <v>27</v>
      </c>
      <c r="B30" s="17" t="s">
        <v>82</v>
      </c>
      <c r="C30" s="19" t="s">
        <v>86</v>
      </c>
      <c r="D30" s="18" t="s">
        <v>26</v>
      </c>
      <c r="E30" s="41" t="s">
        <v>88</v>
      </c>
      <c r="F30" s="20"/>
      <c r="G30" s="20">
        <v>51684258</v>
      </c>
      <c r="H30" s="20">
        <f>H29+Table1[[#This Row],[مبلغ ورود]]-Table1[[#This Row],[مبلغ خروج]]</f>
        <v>39253847</v>
      </c>
    </row>
    <row r="31" spans="1:8" ht="38.25" customHeight="1">
      <c r="A31" s="17">
        <v>28</v>
      </c>
      <c r="B31" s="17" t="s">
        <v>91</v>
      </c>
      <c r="C31" s="19" t="s">
        <v>90</v>
      </c>
      <c r="D31" s="18" t="s">
        <v>26</v>
      </c>
      <c r="E31" s="41" t="s">
        <v>89</v>
      </c>
      <c r="F31" s="20"/>
      <c r="G31" s="20">
        <v>31838274</v>
      </c>
      <c r="H31" s="20">
        <f>H30+Table1[[#This Row],[مبلغ ورود]]-Table1[[#This Row],[مبلغ خروج]]</f>
        <v>7415573</v>
      </c>
    </row>
    <row r="32" spans="1:8" ht="38.25" customHeight="1">
      <c r="A32" s="17">
        <v>29</v>
      </c>
      <c r="B32" s="17" t="s">
        <v>91</v>
      </c>
      <c r="C32" s="19" t="s">
        <v>92</v>
      </c>
      <c r="D32" s="18" t="s">
        <v>26</v>
      </c>
      <c r="E32" s="41" t="s">
        <v>93</v>
      </c>
      <c r="F32" s="20"/>
      <c r="G32" s="20">
        <v>229848738</v>
      </c>
      <c r="H32" s="20">
        <f>H31+Table1[[#This Row],[مبلغ ورود]]-Table1[[#This Row],[مبلغ خروج]]</f>
        <v>-222433165</v>
      </c>
    </row>
    <row r="33" spans="1:8" ht="38.25" customHeight="1">
      <c r="A33" s="17">
        <v>30</v>
      </c>
      <c r="B33" s="17" t="s">
        <v>91</v>
      </c>
      <c r="C33" s="19" t="s">
        <v>94</v>
      </c>
      <c r="D33" s="18" t="s">
        <v>26</v>
      </c>
      <c r="E33" s="41" t="s">
        <v>95</v>
      </c>
      <c r="F33" s="20"/>
      <c r="G33" s="20">
        <v>31038152</v>
      </c>
      <c r="H33" s="20">
        <f>H32+Table1[[#This Row],[مبلغ ورود]]-Table1[[#This Row],[مبلغ خروج]]</f>
        <v>-253471317</v>
      </c>
    </row>
    <row r="34" spans="1:8" ht="56.25">
      <c r="A34" s="17">
        <v>31</v>
      </c>
      <c r="B34" s="17" t="s">
        <v>91</v>
      </c>
      <c r="C34" s="19" t="s">
        <v>96</v>
      </c>
      <c r="D34" s="18" t="s">
        <v>26</v>
      </c>
      <c r="E34" s="41" t="s">
        <v>97</v>
      </c>
      <c r="F34" s="20"/>
      <c r="G34" s="20">
        <v>66867670</v>
      </c>
      <c r="H34" s="20">
        <f>H33+Table1[[#This Row],[مبلغ ورود]]-Table1[[#This Row],[مبلغ خروج]]</f>
        <v>-320338987</v>
      </c>
    </row>
    <row r="35" spans="1:8" ht="38.25" customHeight="1">
      <c r="A35" s="17">
        <v>32</v>
      </c>
      <c r="B35" s="17" t="s">
        <v>91</v>
      </c>
      <c r="C35" s="19"/>
      <c r="D35" s="47"/>
      <c r="E35" s="41" t="s">
        <v>44</v>
      </c>
      <c r="F35" s="20">
        <v>500000000</v>
      </c>
      <c r="G35" s="20"/>
      <c r="H35" s="20">
        <f>H34+Table1[[#This Row],[مبلغ ورود]]-Table1[[#This Row],[مبلغ خروج]]</f>
        <v>179661013</v>
      </c>
    </row>
    <row r="36" spans="1:8" ht="38.25" customHeight="1">
      <c r="A36" s="17">
        <v>33</v>
      </c>
      <c r="B36" s="17" t="s">
        <v>98</v>
      </c>
      <c r="C36" s="19" t="s">
        <v>99</v>
      </c>
      <c r="D36" s="18" t="s">
        <v>26</v>
      </c>
      <c r="E36" s="41" t="s">
        <v>100</v>
      </c>
      <c r="F36" s="20"/>
      <c r="G36" s="20">
        <v>1750000000</v>
      </c>
      <c r="H36" s="20">
        <f>H35+Table1[[#This Row],[مبلغ ورود]]-Table1[[#This Row],[مبلغ خروج]]</f>
        <v>-1570338987</v>
      </c>
    </row>
    <row r="37" spans="1:8" ht="38.25" customHeight="1">
      <c r="A37" s="17">
        <v>34</v>
      </c>
      <c r="B37" s="17" t="s">
        <v>98</v>
      </c>
      <c r="C37" s="19"/>
      <c r="E37" s="41" t="s">
        <v>44</v>
      </c>
      <c r="F37" s="20">
        <v>20000000000</v>
      </c>
      <c r="G37" s="20"/>
      <c r="H37" s="20">
        <f>H36+Table1[[#This Row],[مبلغ ورود]]-Table1[[#This Row],[مبلغ خروج]]</f>
        <v>18429661013</v>
      </c>
    </row>
    <row r="38" spans="1:8" ht="38.25" customHeight="1">
      <c r="A38" s="17">
        <v>35</v>
      </c>
      <c r="B38" s="17" t="s">
        <v>103</v>
      </c>
      <c r="C38" s="19" t="s">
        <v>104</v>
      </c>
      <c r="D38" s="18" t="s">
        <v>26</v>
      </c>
      <c r="E38" s="18" t="s">
        <v>102</v>
      </c>
      <c r="F38" s="20"/>
      <c r="G38" s="20">
        <v>1207449200</v>
      </c>
      <c r="H38" s="20">
        <f>H37+Table1[[#This Row],[مبلغ ورود]]-Table1[[#This Row],[مبلغ خروج]]</f>
        <v>17222211813</v>
      </c>
    </row>
    <row r="39" spans="1:8" ht="38.25" customHeight="1">
      <c r="A39" s="17">
        <v>36</v>
      </c>
      <c r="C39" s="19" t="s">
        <v>101</v>
      </c>
      <c r="D39" s="18" t="s">
        <v>26</v>
      </c>
      <c r="E39" s="41" t="s">
        <v>105</v>
      </c>
      <c r="F39" s="20"/>
      <c r="G39" s="20"/>
      <c r="H39" s="20">
        <f>H38+Table1[[#This Row],[مبلغ ورود]]-Table1[[#This Row],[مبلغ خروج]]</f>
        <v>17222211813</v>
      </c>
    </row>
    <row r="40" spans="1:8" ht="56.25">
      <c r="A40" s="17">
        <v>37</v>
      </c>
      <c r="B40" s="17" t="s">
        <v>98</v>
      </c>
      <c r="C40" s="19" t="s">
        <v>106</v>
      </c>
      <c r="D40" s="18" t="s">
        <v>26</v>
      </c>
      <c r="E40" s="41" t="s">
        <v>107</v>
      </c>
      <c r="F40" s="20"/>
      <c r="G40" s="20">
        <v>1143750000</v>
      </c>
      <c r="H40" s="20">
        <f>H39+Table1[[#This Row],[مبلغ ورود]]-Table1[[#This Row],[مبلغ خروج]]</f>
        <v>16078461813</v>
      </c>
    </row>
    <row r="41" spans="1:8" ht="51.75" customHeight="1">
      <c r="A41" s="17">
        <v>38</v>
      </c>
      <c r="B41" s="17" t="s">
        <v>98</v>
      </c>
      <c r="C41" s="19" t="s">
        <v>108</v>
      </c>
      <c r="D41" s="18" t="s">
        <v>26</v>
      </c>
      <c r="E41" s="41" t="s">
        <v>109</v>
      </c>
      <c r="F41" s="20"/>
      <c r="G41" s="20">
        <v>110512850</v>
      </c>
      <c r="H41" s="20">
        <f>H40+Table1[[#This Row],[مبلغ ورود]]-Table1[[#This Row],[مبلغ خروج]]</f>
        <v>15967948963</v>
      </c>
    </row>
    <row r="42" spans="1:8" ht="38.25" customHeight="1">
      <c r="A42" s="17">
        <v>39</v>
      </c>
      <c r="B42" s="17" t="s">
        <v>111</v>
      </c>
      <c r="C42" s="19" t="s">
        <v>110</v>
      </c>
      <c r="D42" s="18" t="s">
        <v>26</v>
      </c>
      <c r="E42" s="41" t="s">
        <v>112</v>
      </c>
      <c r="F42" s="20"/>
      <c r="G42" s="20">
        <v>5000000000</v>
      </c>
      <c r="H42" s="20">
        <f>H41+Table1[[#This Row],[مبلغ ورود]]-Table1[[#This Row],[مبلغ خروج]]</f>
        <v>10967948963</v>
      </c>
    </row>
    <row r="43" spans="1:8" ht="55.5" customHeight="1">
      <c r="A43" s="17">
        <v>40</v>
      </c>
      <c r="B43" s="17" t="s">
        <v>115</v>
      </c>
      <c r="C43" s="19" t="s">
        <v>114</v>
      </c>
      <c r="D43" s="18" t="s">
        <v>26</v>
      </c>
      <c r="E43" s="41" t="s">
        <v>113</v>
      </c>
      <c r="F43" s="20"/>
      <c r="G43" s="20">
        <v>76970000</v>
      </c>
      <c r="H43" s="20">
        <f>H42+Table1[[#This Row],[مبلغ ورود]]-Table1[[#This Row],[مبلغ خروج]]</f>
        <v>10890978963</v>
      </c>
    </row>
    <row r="44" spans="1:8" ht="38.25" customHeight="1">
      <c r="A44" s="17">
        <v>41</v>
      </c>
      <c r="B44" s="17" t="s">
        <v>115</v>
      </c>
      <c r="C44" s="19" t="s">
        <v>116</v>
      </c>
      <c r="D44" s="18" t="s">
        <v>26</v>
      </c>
      <c r="E44" s="41" t="s">
        <v>117</v>
      </c>
      <c r="F44" s="20"/>
      <c r="G44" s="20">
        <v>1685875800</v>
      </c>
      <c r="H44" s="20">
        <f>H43+Table1[[#This Row],[مبلغ ورود]]-Table1[[#This Row],[مبلغ خروج]]</f>
        <v>9205103163</v>
      </c>
    </row>
    <row r="45" spans="1:8" ht="54" customHeight="1">
      <c r="A45" s="17">
        <v>42</v>
      </c>
      <c r="B45" s="17" t="s">
        <v>115</v>
      </c>
      <c r="C45" s="19" t="s">
        <v>118</v>
      </c>
      <c r="D45" s="18" t="s">
        <v>26</v>
      </c>
      <c r="E45" s="41" t="s">
        <v>119</v>
      </c>
      <c r="F45" s="20"/>
      <c r="G45" s="20">
        <v>165000000</v>
      </c>
      <c r="H45" s="20">
        <f>H44+Table1[[#This Row],[مبلغ ورود]]-Table1[[#This Row],[مبلغ خروج]]</f>
        <v>9040103163</v>
      </c>
    </row>
    <row r="46" spans="1:8" ht="38.25" customHeight="1">
      <c r="A46" s="17">
        <v>43</v>
      </c>
      <c r="B46" s="17" t="s">
        <v>121</v>
      </c>
      <c r="C46" s="19" t="s">
        <v>120</v>
      </c>
      <c r="D46" s="18" t="s">
        <v>26</v>
      </c>
      <c r="E46" s="41" t="s">
        <v>122</v>
      </c>
      <c r="F46" s="20"/>
      <c r="G46" s="20">
        <v>368011250</v>
      </c>
      <c r="H46" s="20">
        <f>H45+Table1[[#This Row],[مبلغ ورود]]-Table1[[#This Row],[مبلغ خروج]]</f>
        <v>8672091913</v>
      </c>
    </row>
    <row r="47" spans="1:8" ht="38.25" customHeight="1">
      <c r="A47" s="17">
        <v>44</v>
      </c>
      <c r="B47" s="17" t="s">
        <v>121</v>
      </c>
      <c r="C47" s="19" t="s">
        <v>123</v>
      </c>
      <c r="D47" s="18" t="s">
        <v>26</v>
      </c>
      <c r="E47" s="41" t="s">
        <v>124</v>
      </c>
      <c r="F47" s="20"/>
      <c r="G47" s="20">
        <v>421265000</v>
      </c>
      <c r="H47" s="20">
        <f>H46+Table1[[#This Row],[مبلغ ورود]]-Table1[[#This Row],[مبلغ خروج]]</f>
        <v>8250826913</v>
      </c>
    </row>
    <row r="48" spans="1:8" ht="38.25" customHeight="1">
      <c r="A48" s="17">
        <v>45</v>
      </c>
      <c r="B48" s="17" t="s">
        <v>121</v>
      </c>
      <c r="C48" s="19" t="s">
        <v>125</v>
      </c>
      <c r="D48" s="18" t="s">
        <v>26</v>
      </c>
      <c r="E48" s="41" t="s">
        <v>126</v>
      </c>
      <c r="F48" s="20"/>
      <c r="G48" s="20">
        <v>51870410</v>
      </c>
      <c r="H48" s="20">
        <f>H47+Table1[[#This Row],[مبلغ ورود]]-Table1[[#This Row],[مبلغ خروج]]</f>
        <v>8198956503</v>
      </c>
    </row>
    <row r="49" spans="1:8" ht="38.25" customHeight="1">
      <c r="A49" s="17">
        <v>46</v>
      </c>
      <c r="B49" s="17" t="s">
        <v>121</v>
      </c>
      <c r="C49" s="19" t="s">
        <v>128</v>
      </c>
      <c r="D49" s="18" t="s">
        <v>26</v>
      </c>
      <c r="E49" s="41" t="s">
        <v>127</v>
      </c>
      <c r="F49" s="20"/>
      <c r="G49" s="20">
        <v>58016000</v>
      </c>
      <c r="H49" s="20">
        <f>H48+Table1[[#This Row],[مبلغ ورود]]-Table1[[#This Row],[مبلغ خروج]]</f>
        <v>8140940503</v>
      </c>
    </row>
    <row r="50" spans="1:8" ht="56.25">
      <c r="A50" s="17">
        <v>47</v>
      </c>
      <c r="B50" s="17" t="s">
        <v>129</v>
      </c>
      <c r="C50" s="19" t="s">
        <v>130</v>
      </c>
      <c r="D50" s="18" t="s">
        <v>26</v>
      </c>
      <c r="E50" s="41" t="s">
        <v>131</v>
      </c>
      <c r="F50" s="20"/>
      <c r="G50" s="20">
        <f>316114286+461485714+1798400000+1963200000</f>
        <v>4539200000</v>
      </c>
      <c r="H50" s="20">
        <f>H49+Table1[[#This Row],[مبلغ ورود]]-Table1[[#This Row],[مبلغ خروج]]</f>
        <v>3601740503</v>
      </c>
    </row>
    <row r="51" spans="1:8" ht="38.25" customHeight="1">
      <c r="A51" s="17">
        <v>48</v>
      </c>
      <c r="B51" s="17" t="s">
        <v>129</v>
      </c>
      <c r="C51" s="19"/>
      <c r="E51" s="41" t="s">
        <v>44</v>
      </c>
      <c r="F51" s="20">
        <v>16000000000</v>
      </c>
      <c r="G51" s="20"/>
      <c r="H51" s="20">
        <f>H50+Table1[[#This Row],[مبلغ ورود]]-Table1[[#This Row],[مبلغ خروج]]</f>
        <v>19601740503</v>
      </c>
    </row>
    <row r="52" spans="1:8" ht="38.25" customHeight="1">
      <c r="A52" s="17">
        <v>49</v>
      </c>
      <c r="B52" s="17" t="s">
        <v>129</v>
      </c>
      <c r="C52" s="19" t="s">
        <v>132</v>
      </c>
      <c r="D52" s="18" t="s">
        <v>26</v>
      </c>
      <c r="E52" s="41" t="s">
        <v>112</v>
      </c>
      <c r="F52" s="20"/>
      <c r="G52" s="20">
        <v>5000000000</v>
      </c>
      <c r="H52" s="20">
        <f>H51+Table1[[#This Row],[مبلغ ورود]]-Table1[[#This Row],[مبلغ خروج]]</f>
        <v>14601740503</v>
      </c>
    </row>
    <row r="53" spans="1:8" ht="56.25">
      <c r="A53" s="17">
        <v>50</v>
      </c>
      <c r="B53" s="17" t="s">
        <v>134</v>
      </c>
      <c r="C53" s="19" t="s">
        <v>133</v>
      </c>
      <c r="D53" s="18" t="s">
        <v>26</v>
      </c>
      <c r="E53" s="41" t="s">
        <v>139</v>
      </c>
      <c r="F53" s="20"/>
      <c r="G53" s="20">
        <v>4428710000</v>
      </c>
      <c r="H53" s="20">
        <f>H52+Table1[[#This Row],[مبلغ ورود]]-Table1[[#This Row],[مبلغ خروج]]</f>
        <v>10173030503</v>
      </c>
    </row>
    <row r="54" spans="1:8" ht="38.25" customHeight="1">
      <c r="A54" s="17">
        <v>51</v>
      </c>
      <c r="B54" s="17" t="s">
        <v>134</v>
      </c>
      <c r="C54" s="19" t="s">
        <v>135</v>
      </c>
      <c r="D54" s="18" t="s">
        <v>26</v>
      </c>
      <c r="E54" s="41" t="s">
        <v>137</v>
      </c>
      <c r="F54" s="20"/>
      <c r="G54" s="20">
        <v>51990000</v>
      </c>
      <c r="H54" s="20">
        <f>H53+Table1[[#This Row],[مبلغ ورود]]-Table1[[#This Row],[مبلغ خروج]]</f>
        <v>10121040503</v>
      </c>
    </row>
    <row r="55" spans="1:8" ht="58.5" customHeight="1">
      <c r="A55" s="17">
        <v>52</v>
      </c>
      <c r="B55" s="17" t="s">
        <v>134</v>
      </c>
      <c r="C55" s="19" t="s">
        <v>136</v>
      </c>
      <c r="D55" s="18" t="s">
        <v>26</v>
      </c>
      <c r="E55" s="41" t="s">
        <v>138</v>
      </c>
      <c r="F55" s="20"/>
      <c r="G55" s="20">
        <v>260424897</v>
      </c>
      <c r="H55" s="20">
        <f>H54+Table1[[#This Row],[مبلغ ورود]]-Table1[[#This Row],[مبلغ خروج]]</f>
        <v>9860615606</v>
      </c>
    </row>
    <row r="56" spans="1:8" ht="38.25" customHeight="1">
      <c r="A56" s="17">
        <v>53</v>
      </c>
      <c r="B56" s="17" t="s">
        <v>134</v>
      </c>
      <c r="C56" s="19" t="s">
        <v>140</v>
      </c>
      <c r="D56" s="18" t="s">
        <v>26</v>
      </c>
      <c r="E56" s="41" t="s">
        <v>141</v>
      </c>
      <c r="F56" s="20"/>
      <c r="G56" s="20">
        <v>1755944000</v>
      </c>
      <c r="H56" s="20">
        <f>H55+Table1[[#This Row],[مبلغ ورود]]-Table1[[#This Row],[مبلغ خروج]]</f>
        <v>8104671606</v>
      </c>
    </row>
    <row r="57" spans="1:8" ht="45">
      <c r="A57" s="17">
        <v>54</v>
      </c>
      <c r="B57" s="17" t="s">
        <v>134</v>
      </c>
      <c r="C57" s="19" t="s">
        <v>142</v>
      </c>
      <c r="D57" s="18" t="s">
        <v>26</v>
      </c>
      <c r="E57" s="48" t="s">
        <v>143</v>
      </c>
      <c r="F57" s="20"/>
      <c r="G57" s="20">
        <v>68727778</v>
      </c>
      <c r="H57" s="20">
        <f>H56+Table1[[#This Row],[مبلغ ورود]]-Table1[[#This Row],[مبلغ خروج]]</f>
        <v>8035943828</v>
      </c>
    </row>
    <row r="58" spans="1:8" ht="37.5">
      <c r="A58" s="17">
        <v>55</v>
      </c>
      <c r="B58" s="17" t="s">
        <v>145</v>
      </c>
      <c r="C58" s="19" t="s">
        <v>144</v>
      </c>
      <c r="D58" s="18" t="s">
        <v>26</v>
      </c>
      <c r="E58" s="41" t="s">
        <v>146</v>
      </c>
      <c r="F58" s="20"/>
      <c r="G58" s="20">
        <v>2415703500</v>
      </c>
      <c r="H58" s="20">
        <f>H57+Table1[[#This Row],[مبلغ ورود]]-Table1[[#This Row],[مبلغ خروج]]</f>
        <v>5620240328</v>
      </c>
    </row>
    <row r="59" spans="1:8" ht="38.25" customHeight="1">
      <c r="A59" s="17">
        <v>56</v>
      </c>
      <c r="B59" s="17" t="s">
        <v>134</v>
      </c>
      <c r="C59" s="19" t="s">
        <v>147</v>
      </c>
      <c r="D59" s="18" t="s">
        <v>26</v>
      </c>
      <c r="E59" s="41" t="s">
        <v>148</v>
      </c>
      <c r="F59" s="20"/>
      <c r="G59" s="20">
        <v>1847110000</v>
      </c>
      <c r="H59" s="20">
        <f>H58+Table1[[#This Row],[مبلغ ورود]]-Table1[[#This Row],[مبلغ خروج]]</f>
        <v>3773130328</v>
      </c>
    </row>
    <row r="60" spans="1:8" ht="38.25" customHeight="1">
      <c r="A60" s="17">
        <v>57</v>
      </c>
      <c r="B60" s="17" t="s">
        <v>134</v>
      </c>
      <c r="C60" s="19" t="s">
        <v>149</v>
      </c>
      <c r="D60" s="18" t="s">
        <v>26</v>
      </c>
      <c r="E60" s="41" t="s">
        <v>150</v>
      </c>
      <c r="F60" s="20"/>
      <c r="G60" s="20">
        <v>88893900</v>
      </c>
      <c r="H60" s="20">
        <f>H59+Table1[[#This Row],[مبلغ ورود]]-Table1[[#This Row],[مبلغ خروج]]</f>
        <v>3684236428</v>
      </c>
    </row>
    <row r="61" spans="1:8" ht="38.25" customHeight="1">
      <c r="A61" s="17">
        <v>58</v>
      </c>
      <c r="B61" s="17" t="s">
        <v>153</v>
      </c>
      <c r="C61" s="19" t="s">
        <v>151</v>
      </c>
      <c r="D61" s="18" t="s">
        <v>26</v>
      </c>
      <c r="E61" s="41" t="s">
        <v>152</v>
      </c>
      <c r="F61" s="20"/>
      <c r="G61" s="20">
        <v>247773638</v>
      </c>
      <c r="H61" s="20">
        <f>H60+Table1[[#This Row],[مبلغ ورود]]-Table1[[#This Row],[مبلغ خروج]]</f>
        <v>3436462790</v>
      </c>
    </row>
    <row r="62" spans="1:8" ht="38.25" customHeight="1">
      <c r="A62" s="17">
        <v>59</v>
      </c>
      <c r="B62" s="17" t="s">
        <v>153</v>
      </c>
      <c r="C62" s="19" t="s">
        <v>154</v>
      </c>
      <c r="D62" s="18" t="s">
        <v>26</v>
      </c>
      <c r="E62" s="41" t="s">
        <v>155</v>
      </c>
      <c r="F62" s="20"/>
      <c r="G62" s="20">
        <v>32303274</v>
      </c>
      <c r="H62" s="20">
        <f>H61+Table1[[#This Row],[مبلغ ورود]]-Table1[[#This Row],[مبلغ خروج]]</f>
        <v>3404159516</v>
      </c>
    </row>
    <row r="63" spans="1:8" ht="56.25">
      <c r="A63" s="17">
        <v>60</v>
      </c>
      <c r="B63" s="17" t="s">
        <v>153</v>
      </c>
      <c r="C63" s="19" t="s">
        <v>156</v>
      </c>
      <c r="D63" s="18" t="s">
        <v>26</v>
      </c>
      <c r="E63" s="41" t="s">
        <v>157</v>
      </c>
      <c r="F63" s="20"/>
      <c r="G63" s="20">
        <v>81976031</v>
      </c>
      <c r="H63" s="20">
        <f>H62+Table1[[#This Row],[مبلغ ورود]]-Table1[[#This Row],[مبلغ خروج]]</f>
        <v>3322183485</v>
      </c>
    </row>
    <row r="64" spans="1:8" ht="38.25" customHeight="1">
      <c r="A64" s="17">
        <v>61</v>
      </c>
      <c r="B64" s="17" t="s">
        <v>153</v>
      </c>
      <c r="C64" s="19" t="s">
        <v>158</v>
      </c>
      <c r="D64" s="18" t="s">
        <v>26</v>
      </c>
      <c r="E64" s="41" t="s">
        <v>159</v>
      </c>
      <c r="F64" s="20"/>
      <c r="G64" s="20">
        <v>37258229</v>
      </c>
      <c r="H64" s="20">
        <f>H63+Table1[[#This Row],[مبلغ ورود]]-Table1[[#This Row],[مبلغ خروج]]</f>
        <v>3284925256</v>
      </c>
    </row>
    <row r="65" spans="1:8" ht="38.25" customHeight="1">
      <c r="A65" s="17">
        <v>62</v>
      </c>
      <c r="B65" s="17" t="s">
        <v>153</v>
      </c>
      <c r="C65" s="19" t="s">
        <v>160</v>
      </c>
      <c r="D65" s="18" t="s">
        <v>26</v>
      </c>
      <c r="E65" s="41" t="s">
        <v>112</v>
      </c>
      <c r="F65" s="20"/>
      <c r="G65" s="20">
        <v>3000000000</v>
      </c>
      <c r="H65" s="20">
        <f>H64+Table1[[#This Row],[مبلغ ورود]]-Table1[[#This Row],[مبلغ خروج]]</f>
        <v>284925256</v>
      </c>
    </row>
    <row r="66" spans="1:8" ht="38.25" customHeight="1">
      <c r="A66" s="17">
        <v>63</v>
      </c>
      <c r="B66" s="17" t="s">
        <v>153</v>
      </c>
      <c r="C66" s="19" t="s">
        <v>161</v>
      </c>
      <c r="D66" s="18" t="s">
        <v>26</v>
      </c>
      <c r="E66" s="41" t="s">
        <v>162</v>
      </c>
      <c r="F66" s="20"/>
      <c r="G66" s="20">
        <v>102952966</v>
      </c>
      <c r="H66" s="20">
        <f>H65+Table1[[#This Row],[مبلغ ورود]]-Table1[[#This Row],[مبلغ خروج]]</f>
        <v>181972290</v>
      </c>
    </row>
    <row r="67" spans="1:8" ht="38.25" customHeight="1">
      <c r="A67" s="17">
        <v>64</v>
      </c>
      <c r="B67" s="17" t="s">
        <v>163</v>
      </c>
      <c r="C67" s="19" t="s">
        <v>164</v>
      </c>
      <c r="D67" s="18" t="s">
        <v>26</v>
      </c>
      <c r="E67" s="41" t="s">
        <v>165</v>
      </c>
      <c r="F67" s="20"/>
      <c r="G67" s="20">
        <v>264336097</v>
      </c>
      <c r="H67" s="20">
        <f>H66+Table1[[#This Row],[مبلغ ورود]]-Table1[[#This Row],[مبلغ خروج]]</f>
        <v>-82363807</v>
      </c>
    </row>
    <row r="68" spans="1:8" ht="38.25" customHeight="1">
      <c r="A68" s="17">
        <v>65</v>
      </c>
      <c r="B68" s="17" t="s">
        <v>163</v>
      </c>
      <c r="C68" s="19" t="s">
        <v>166</v>
      </c>
      <c r="D68" s="18" t="s">
        <v>26</v>
      </c>
      <c r="E68" s="41" t="s">
        <v>167</v>
      </c>
      <c r="F68" s="20"/>
      <c r="G68" s="20">
        <f>102460000+200342000</f>
        <v>302802000</v>
      </c>
      <c r="H68" s="20">
        <f>H67+Table1[[#This Row],[مبلغ ورود]]-Table1[[#This Row],[مبلغ خروج]]</f>
        <v>-385165807</v>
      </c>
    </row>
    <row r="69" spans="1:8" ht="38.25" customHeight="1">
      <c r="A69" s="17">
        <v>66</v>
      </c>
      <c r="B69" s="17" t="s">
        <v>163</v>
      </c>
      <c r="C69" s="19" t="s">
        <v>168</v>
      </c>
      <c r="D69" s="18" t="s">
        <v>26</v>
      </c>
      <c r="E69" s="41" t="s">
        <v>169</v>
      </c>
      <c r="F69" s="20"/>
      <c r="G69" s="20">
        <v>1000000000</v>
      </c>
      <c r="H69" s="20">
        <f>H68+Table1[[#This Row],[مبلغ ورود]]-Table1[[#This Row],[مبلغ خروج]]</f>
        <v>-1385165807</v>
      </c>
    </row>
    <row r="70" spans="1:8" ht="56.25">
      <c r="A70" s="17">
        <v>67</v>
      </c>
      <c r="B70" s="17" t="s">
        <v>163</v>
      </c>
      <c r="C70" s="19" t="s">
        <v>170</v>
      </c>
      <c r="D70" s="18" t="s">
        <v>26</v>
      </c>
      <c r="E70" s="41" t="s">
        <v>171</v>
      </c>
      <c r="F70" s="20"/>
      <c r="G70" s="20">
        <v>9101500</v>
      </c>
      <c r="H70" s="20">
        <f>H69+Table1[[#This Row],[مبلغ ورود]]-Table1[[#This Row],[مبلغ خروج]]</f>
        <v>-1394267307</v>
      </c>
    </row>
    <row r="71" spans="1:8" ht="56.25">
      <c r="A71" s="17">
        <v>68</v>
      </c>
      <c r="B71" s="17" t="s">
        <v>163</v>
      </c>
      <c r="C71" s="19" t="s">
        <v>172</v>
      </c>
      <c r="D71" s="18" t="s">
        <v>26</v>
      </c>
      <c r="E71" s="41" t="s">
        <v>173</v>
      </c>
      <c r="F71" s="20"/>
      <c r="G71" s="20">
        <v>71500000</v>
      </c>
      <c r="H71" s="20">
        <f>H70+Table1[[#This Row],[مبلغ ورود]]-Table1[[#This Row],[مبلغ خروج]]</f>
        <v>-1465767307</v>
      </c>
    </row>
    <row r="72" spans="1:8" ht="38.25" customHeight="1">
      <c r="A72" s="17">
        <v>69</v>
      </c>
      <c r="B72" s="17" t="s">
        <v>163</v>
      </c>
      <c r="C72" s="19" t="s">
        <v>174</v>
      </c>
      <c r="D72" s="18" t="s">
        <v>26</v>
      </c>
      <c r="E72" s="41" t="s">
        <v>175</v>
      </c>
      <c r="F72" s="20"/>
      <c r="G72" s="20">
        <v>36000000</v>
      </c>
      <c r="H72" s="20">
        <f>H71+Table1[[#This Row],[مبلغ ورود]]-Table1[[#This Row],[مبلغ خروج]]</f>
        <v>-1501767307</v>
      </c>
    </row>
    <row r="73" spans="1:8" ht="38.25" customHeight="1">
      <c r="A73" s="17">
        <v>70</v>
      </c>
      <c r="B73" s="17" t="s">
        <v>176</v>
      </c>
      <c r="C73" s="19"/>
      <c r="E73" s="41" t="s">
        <v>44</v>
      </c>
      <c r="F73" s="20">
        <v>20000000000</v>
      </c>
      <c r="G73" s="20"/>
      <c r="H73" s="20">
        <f>H72+Table1[[#This Row],[مبلغ ورود]]-Table1[[#This Row],[مبلغ خروج]]</f>
        <v>18498232693</v>
      </c>
    </row>
    <row r="74" spans="1:8" ht="38.25" customHeight="1">
      <c r="A74" s="17">
        <v>71</v>
      </c>
      <c r="B74" s="17" t="s">
        <v>177</v>
      </c>
      <c r="C74" s="19" t="s">
        <v>178</v>
      </c>
      <c r="D74" s="18" t="s">
        <v>26</v>
      </c>
      <c r="E74" s="41" t="s">
        <v>179</v>
      </c>
      <c r="F74" s="20"/>
      <c r="G74" s="20">
        <v>10000000000</v>
      </c>
      <c r="H74" s="20">
        <f>H73+Table1[[#This Row],[مبلغ ورود]]-Table1[[#This Row],[مبلغ خروج]]</f>
        <v>8498232693</v>
      </c>
    </row>
    <row r="75" spans="1:8" ht="56.25">
      <c r="A75" s="17">
        <v>72</v>
      </c>
      <c r="B75" s="17" t="s">
        <v>180</v>
      </c>
      <c r="C75" s="19" t="s">
        <v>181</v>
      </c>
      <c r="D75" s="18" t="s">
        <v>26</v>
      </c>
      <c r="E75" s="41" t="s">
        <v>182</v>
      </c>
      <c r="F75" s="20"/>
      <c r="G75" s="20">
        <v>3000000000</v>
      </c>
      <c r="H75" s="20">
        <f>H74+Table1[[#This Row],[مبلغ ورود]]-Table1[[#This Row],[مبلغ خروج]]</f>
        <v>5498232693</v>
      </c>
    </row>
    <row r="76" spans="1:8" ht="38.25" customHeight="1">
      <c r="A76" s="17">
        <v>73</v>
      </c>
      <c r="B76" s="17" t="s">
        <v>183</v>
      </c>
      <c r="C76" s="19" t="s">
        <v>184</v>
      </c>
      <c r="D76" s="18" t="s">
        <v>26</v>
      </c>
      <c r="E76" s="41" t="s">
        <v>185</v>
      </c>
      <c r="F76" s="20"/>
      <c r="G76" s="20">
        <v>113300856</v>
      </c>
      <c r="H76" s="20">
        <f>H75+Table1[[#This Row],[مبلغ ورود]]-Table1[[#This Row],[مبلغ خروج]]</f>
        <v>5384931837</v>
      </c>
    </row>
    <row r="77" spans="1:8" ht="38.25" customHeight="1">
      <c r="A77" s="17">
        <v>74</v>
      </c>
      <c r="B77" s="17" t="s">
        <v>183</v>
      </c>
      <c r="C77" s="19" t="s">
        <v>186</v>
      </c>
      <c r="D77" s="18" t="s">
        <v>26</v>
      </c>
      <c r="E77" s="41" t="s">
        <v>190</v>
      </c>
      <c r="F77" s="20"/>
      <c r="G77" s="20">
        <v>247533879</v>
      </c>
      <c r="H77" s="20">
        <f>H76+Table1[[#This Row],[مبلغ ورود]]-Table1[[#This Row],[مبلغ خروج]]</f>
        <v>5137397958</v>
      </c>
    </row>
    <row r="78" spans="1:8" ht="38.25" customHeight="1">
      <c r="A78" s="17">
        <v>75</v>
      </c>
      <c r="B78" s="17" t="s">
        <v>183</v>
      </c>
      <c r="C78" s="19" t="s">
        <v>187</v>
      </c>
      <c r="D78" s="18" t="s">
        <v>26</v>
      </c>
      <c r="E78" s="41" t="s">
        <v>191</v>
      </c>
      <c r="F78" s="20"/>
      <c r="G78" s="20">
        <v>34703274</v>
      </c>
      <c r="H78" s="20">
        <f>H77+Table1[[#This Row],[مبلغ ورود]]-Table1[[#This Row],[مبلغ خروج]]</f>
        <v>5102694684</v>
      </c>
    </row>
    <row r="79" spans="1:8" ht="37.5">
      <c r="A79" s="17">
        <v>76</v>
      </c>
      <c r="B79" s="17" t="s">
        <v>183</v>
      </c>
      <c r="C79" s="19" t="s">
        <v>188</v>
      </c>
      <c r="D79" s="18" t="s">
        <v>26</v>
      </c>
      <c r="E79" s="41" t="s">
        <v>192</v>
      </c>
      <c r="F79" s="20"/>
      <c r="G79" s="20">
        <v>40369517</v>
      </c>
      <c r="H79" s="20">
        <f>H78+Table1[[#This Row],[مبلغ ورود]]-Table1[[#This Row],[مبلغ خروج]]</f>
        <v>5062325167</v>
      </c>
    </row>
    <row r="80" spans="1:8" ht="56.25">
      <c r="A80" s="17">
        <v>77</v>
      </c>
      <c r="B80" s="17" t="s">
        <v>183</v>
      </c>
      <c r="C80" s="19" t="s">
        <v>189</v>
      </c>
      <c r="D80" s="18" t="s">
        <v>26</v>
      </c>
      <c r="E80" s="41" t="s">
        <v>193</v>
      </c>
      <c r="F80" s="20"/>
      <c r="G80" s="20">
        <v>67627032</v>
      </c>
      <c r="H80" s="20">
        <f>H79+Table1[[#This Row],[مبلغ ورود]]-Table1[[#This Row],[مبلغ خروج]]</f>
        <v>4994698135</v>
      </c>
    </row>
    <row r="81" spans="1:8" ht="56.25">
      <c r="A81" s="17">
        <v>78</v>
      </c>
      <c r="B81" s="17" t="s">
        <v>194</v>
      </c>
      <c r="C81" s="19" t="s">
        <v>195</v>
      </c>
      <c r="D81" s="18" t="s">
        <v>26</v>
      </c>
      <c r="E81" s="41" t="s">
        <v>196</v>
      </c>
      <c r="F81" s="20"/>
      <c r="G81" s="20">
        <v>196240000</v>
      </c>
      <c r="H81" s="20">
        <f>H80+Table1[[#This Row],[مبلغ ورود]]-Table1[[#This Row],[مبلغ خروج]]</f>
        <v>4798458135</v>
      </c>
    </row>
    <row r="82" spans="1:8" ht="38.25" customHeight="1">
      <c r="A82" s="17">
        <v>79</v>
      </c>
      <c r="B82" s="17" t="s">
        <v>197</v>
      </c>
      <c r="C82" s="19" t="s">
        <v>198</v>
      </c>
      <c r="D82" s="18" t="s">
        <v>26</v>
      </c>
      <c r="E82" s="41" t="s">
        <v>199</v>
      </c>
      <c r="F82" s="20"/>
      <c r="G82" s="20">
        <v>79549400</v>
      </c>
      <c r="H82" s="20">
        <f>H81+Table1[[#This Row],[مبلغ ورود]]-Table1[[#This Row],[مبلغ خروج]]</f>
        <v>4718908735</v>
      </c>
    </row>
    <row r="83" spans="1:8" ht="56.25">
      <c r="A83" s="17">
        <v>80</v>
      </c>
      <c r="B83" s="17" t="s">
        <v>197</v>
      </c>
      <c r="C83" s="19" t="s">
        <v>200</v>
      </c>
      <c r="D83" s="18" t="s">
        <v>26</v>
      </c>
      <c r="E83" s="41" t="s">
        <v>201</v>
      </c>
      <c r="F83" s="20"/>
      <c r="G83" s="20">
        <v>2000000000</v>
      </c>
      <c r="H83" s="20">
        <f>H82+Table1[[#This Row],[مبلغ ورود]]-Table1[[#This Row],[مبلغ خروج]]</f>
        <v>2718908735</v>
      </c>
    </row>
    <row r="84" spans="1:8" ht="45">
      <c r="A84" s="17">
        <v>81</v>
      </c>
      <c r="B84" s="17" t="s">
        <v>197</v>
      </c>
      <c r="C84" s="19" t="s">
        <v>202</v>
      </c>
      <c r="D84" s="18" t="s">
        <v>26</v>
      </c>
      <c r="E84" s="50" t="s">
        <v>203</v>
      </c>
      <c r="F84" s="20"/>
      <c r="G84" s="20">
        <v>137550000</v>
      </c>
      <c r="H84" s="20">
        <f>H83+Table1[[#This Row],[مبلغ ورود]]-Table1[[#This Row],[مبلغ خروج]]</f>
        <v>2581358735</v>
      </c>
    </row>
    <row r="85" spans="1:8" ht="56.25">
      <c r="A85" s="17">
        <v>82</v>
      </c>
      <c r="B85" s="17" t="s">
        <v>205</v>
      </c>
      <c r="C85" s="19" t="s">
        <v>204</v>
      </c>
      <c r="D85" s="18" t="s">
        <v>26</v>
      </c>
      <c r="E85" s="41" t="s">
        <v>206</v>
      </c>
      <c r="F85" s="20"/>
      <c r="G85" s="20">
        <v>2538900000</v>
      </c>
      <c r="H85" s="20">
        <f>H84+Table1[[#This Row],[مبلغ ورود]]-Table1[[#This Row],[مبلغ خروج]]</f>
        <v>42458735</v>
      </c>
    </row>
    <row r="86" spans="1:8" ht="18.75">
      <c r="A86" s="17">
        <v>83</v>
      </c>
      <c r="B86" s="17" t="s">
        <v>207</v>
      </c>
      <c r="C86" s="19"/>
      <c r="D86" s="49"/>
      <c r="E86" s="41" t="s">
        <v>44</v>
      </c>
      <c r="F86" s="20">
        <v>2000000000</v>
      </c>
      <c r="G86" s="20"/>
      <c r="H86" s="20">
        <f>H85+Table1[[#This Row],[مبلغ ورود]]-Table1[[#This Row],[مبلغ خروج]]</f>
        <v>2042458735</v>
      </c>
    </row>
    <row r="87" spans="1:8" ht="56.25">
      <c r="A87" s="17">
        <v>84</v>
      </c>
      <c r="B87" s="17" t="s">
        <v>207</v>
      </c>
      <c r="C87" s="19" t="s">
        <v>208</v>
      </c>
      <c r="D87" s="18" t="s">
        <v>26</v>
      </c>
      <c r="E87" s="41" t="s">
        <v>209</v>
      </c>
      <c r="F87" s="20"/>
      <c r="G87" s="20">
        <v>52275000</v>
      </c>
      <c r="H87" s="20">
        <f>H86+Table1[[#This Row],[مبلغ ورود]]-Table1[[#This Row],[مبلغ خروج]]</f>
        <v>1990183735</v>
      </c>
    </row>
    <row r="88" spans="1:8" ht="37.5">
      <c r="A88" s="17">
        <v>85</v>
      </c>
      <c r="B88" s="17" t="s">
        <v>207</v>
      </c>
      <c r="C88" s="19" t="s">
        <v>210</v>
      </c>
      <c r="D88" s="18" t="s">
        <v>26</v>
      </c>
      <c r="E88" s="41" t="s">
        <v>212</v>
      </c>
      <c r="F88" s="20"/>
      <c r="G88" s="20">
        <v>182334098</v>
      </c>
      <c r="H88" s="20">
        <f>H87+Table1[[#This Row],[مبلغ ورود]]-Table1[[#This Row],[مبلغ خروج]]</f>
        <v>1807849637</v>
      </c>
    </row>
    <row r="89" spans="1:8" ht="37.5">
      <c r="A89" s="17">
        <v>86</v>
      </c>
      <c r="B89" s="17" t="s">
        <v>207</v>
      </c>
      <c r="C89" s="19" t="s">
        <v>211</v>
      </c>
      <c r="D89" s="18" t="s">
        <v>26</v>
      </c>
      <c r="E89" s="41" t="s">
        <v>213</v>
      </c>
      <c r="F89" s="20"/>
      <c r="G89" s="20">
        <v>33503274</v>
      </c>
      <c r="H89" s="20">
        <f>H88+Table1[[#This Row],[مبلغ ورود]]-Table1[[#This Row],[مبلغ خروج]]</f>
        <v>1774346363</v>
      </c>
    </row>
    <row r="90" spans="1:8" ht="37.5">
      <c r="A90" s="17">
        <v>87</v>
      </c>
      <c r="B90" s="17" t="s">
        <v>214</v>
      </c>
      <c r="C90" s="19" t="s">
        <v>215</v>
      </c>
      <c r="D90" s="18" t="s">
        <v>26</v>
      </c>
      <c r="E90" s="41" t="s">
        <v>217</v>
      </c>
      <c r="F90" s="20"/>
      <c r="G90" s="20">
        <v>53255399</v>
      </c>
      <c r="H90" s="20">
        <f>H89+Table1[[#This Row],[مبلغ ورود]]-Table1[[#This Row],[مبلغ خروج]]</f>
        <v>1721090964</v>
      </c>
    </row>
    <row r="91" spans="1:8" ht="30">
      <c r="A91" s="17">
        <v>88</v>
      </c>
      <c r="B91" s="17" t="s">
        <v>214</v>
      </c>
      <c r="C91" s="19" t="s">
        <v>218</v>
      </c>
      <c r="D91" s="18" t="s">
        <v>26</v>
      </c>
      <c r="E91" s="50" t="s">
        <v>216</v>
      </c>
      <c r="F91" s="20"/>
      <c r="G91" s="20">
        <v>53255399</v>
      </c>
      <c r="H91" s="20">
        <f>H90+Table1[[#This Row],[مبلغ ورود]]-Table1[[#This Row],[مبلغ خروج]]</f>
        <v>1667835565</v>
      </c>
    </row>
    <row r="92" spans="1:8" ht="45">
      <c r="A92" s="17">
        <v>89</v>
      </c>
      <c r="B92" s="17" t="s">
        <v>214</v>
      </c>
      <c r="C92" s="19" t="s">
        <v>219</v>
      </c>
      <c r="D92" s="18" t="s">
        <v>26</v>
      </c>
      <c r="E92" s="50" t="s">
        <v>220</v>
      </c>
      <c r="F92" s="20"/>
      <c r="G92" s="20">
        <v>16350000</v>
      </c>
      <c r="H92" s="20">
        <f>H91+Table1[[#This Row],[مبلغ ورود]]-Table1[[#This Row],[مبلغ خروج]]</f>
        <v>1651485565</v>
      </c>
    </row>
    <row r="93" spans="1:8" ht="37.5">
      <c r="A93" s="17">
        <v>90</v>
      </c>
      <c r="B93" s="17" t="s">
        <v>214</v>
      </c>
      <c r="C93" s="19" t="s">
        <v>221</v>
      </c>
      <c r="D93" s="18" t="s">
        <v>26</v>
      </c>
      <c r="E93" s="41" t="s">
        <v>223</v>
      </c>
      <c r="F93" s="20"/>
      <c r="G93" s="20">
        <v>28054143</v>
      </c>
      <c r="H93" s="20">
        <f>H92+Table1[[#This Row],[مبلغ ورود]]-Table1[[#This Row],[مبلغ خروج]]</f>
        <v>1623431422</v>
      </c>
    </row>
    <row r="94" spans="1:8" ht="56.25">
      <c r="A94" s="17">
        <v>91</v>
      </c>
      <c r="B94" s="17" t="s">
        <v>214</v>
      </c>
      <c r="C94" s="19" t="s">
        <v>222</v>
      </c>
      <c r="D94" s="18" t="s">
        <v>26</v>
      </c>
      <c r="E94" s="41" t="s">
        <v>224</v>
      </c>
      <c r="F94" s="20"/>
      <c r="G94" s="20">
        <v>50667773</v>
      </c>
      <c r="H94" s="20">
        <f>H93+Table1[[#This Row],[مبلغ ورود]]-Table1[[#This Row],[مبلغ خروج]]</f>
        <v>1572763649</v>
      </c>
    </row>
    <row r="95" spans="1:8" ht="37.5">
      <c r="A95" s="17">
        <v>92</v>
      </c>
      <c r="B95" s="17" t="s">
        <v>214</v>
      </c>
      <c r="C95" s="19" t="s">
        <v>225</v>
      </c>
      <c r="D95" s="18" t="s">
        <v>26</v>
      </c>
      <c r="E95" s="41" t="s">
        <v>226</v>
      </c>
      <c r="F95" s="20"/>
      <c r="G95" s="20">
        <v>150000000</v>
      </c>
      <c r="H95" s="20">
        <f>H94+Table1[[#This Row],[مبلغ ورود]]-Table1[[#This Row],[مبلغ خروج]]</f>
        <v>1422763649</v>
      </c>
    </row>
    <row r="96" spans="1:8" ht="56.25">
      <c r="A96" s="17">
        <v>93</v>
      </c>
      <c r="B96" s="17" t="s">
        <v>207</v>
      </c>
      <c r="C96" s="19" t="s">
        <v>227</v>
      </c>
      <c r="D96" s="18" t="s">
        <v>26</v>
      </c>
      <c r="E96" s="41" t="s">
        <v>247</v>
      </c>
      <c r="F96" s="20"/>
      <c r="G96" s="20">
        <v>1253090218</v>
      </c>
      <c r="H96" s="20">
        <f>H95+Table1[[#This Row],[مبلغ ورود]]-Table1[[#This Row],[مبلغ خروج]]</f>
        <v>169673431</v>
      </c>
    </row>
    <row r="97" spans="1:8" ht="56.25">
      <c r="A97" s="17">
        <v>94</v>
      </c>
      <c r="B97" s="17" t="s">
        <v>228</v>
      </c>
      <c r="C97" s="19" t="s">
        <v>230</v>
      </c>
      <c r="D97" s="18" t="s">
        <v>26</v>
      </c>
      <c r="E97" s="41" t="s">
        <v>231</v>
      </c>
      <c r="F97" s="20"/>
      <c r="G97" s="20">
        <v>34812000</v>
      </c>
      <c r="H97" s="20">
        <f>H96+Table1[[#This Row],[مبلغ ورود]]-Table1[[#This Row],[مبلغ خروج]]</f>
        <v>134861431</v>
      </c>
    </row>
    <row r="98" spans="1:8" ht="56.25">
      <c r="A98" s="17">
        <v>95</v>
      </c>
      <c r="B98" s="17" t="s">
        <v>228</v>
      </c>
      <c r="C98" s="19" t="s">
        <v>232</v>
      </c>
      <c r="D98" s="18" t="s">
        <v>26</v>
      </c>
      <c r="E98" s="41" t="s">
        <v>234</v>
      </c>
      <c r="F98" s="20"/>
      <c r="G98" s="20">
        <v>14904560</v>
      </c>
      <c r="H98" s="20">
        <f>H97+Table1[[#This Row],[مبلغ ورود]]-Table1[[#This Row],[مبلغ خروج]]</f>
        <v>119956871</v>
      </c>
    </row>
    <row r="99" spans="1:8" ht="56.25">
      <c r="A99" s="17">
        <v>96</v>
      </c>
      <c r="B99" s="17" t="s">
        <v>228</v>
      </c>
      <c r="C99" s="19" t="s">
        <v>233</v>
      </c>
      <c r="D99" s="18" t="s">
        <v>26</v>
      </c>
      <c r="E99" s="41" t="s">
        <v>235</v>
      </c>
      <c r="F99" s="20"/>
      <c r="G99" s="20">
        <v>5188000</v>
      </c>
      <c r="H99" s="20">
        <f>H98+Table1[[#This Row],[مبلغ ورود]]-Table1[[#This Row],[مبلغ خروج]]</f>
        <v>114768871</v>
      </c>
    </row>
    <row r="100" spans="1:8" ht="56.25">
      <c r="A100" s="17">
        <v>97</v>
      </c>
      <c r="B100" s="17" t="s">
        <v>228</v>
      </c>
      <c r="C100" s="19" t="s">
        <v>236</v>
      </c>
      <c r="D100" s="18" t="s">
        <v>26</v>
      </c>
      <c r="E100" s="41" t="s">
        <v>229</v>
      </c>
      <c r="F100" s="20"/>
      <c r="G100" s="20">
        <v>90655440</v>
      </c>
      <c r="H100" s="20">
        <f>H99+Table1[[#This Row],[مبلغ ورود]]-Table1[[#This Row],[مبلغ خروج]]</f>
        <v>24113431</v>
      </c>
    </row>
    <row r="101" spans="1:8" ht="18.75">
      <c r="A101" s="17">
        <v>98</v>
      </c>
      <c r="B101" s="17" t="s">
        <v>205</v>
      </c>
      <c r="C101" s="19"/>
      <c r="E101" s="41" t="s">
        <v>237</v>
      </c>
      <c r="F101" s="20"/>
      <c r="G101" s="20">
        <v>5000</v>
      </c>
      <c r="H101" s="20">
        <f>H100+Table1[[#This Row],[مبلغ ورود]]-Table1[[#This Row],[مبلغ خروج]]</f>
        <v>24108431</v>
      </c>
    </row>
    <row r="102" spans="1:8" ht="18.75">
      <c r="A102" s="17">
        <v>99</v>
      </c>
      <c r="B102" s="17" t="s">
        <v>238</v>
      </c>
      <c r="C102" s="19"/>
      <c r="E102" s="41" t="s">
        <v>237</v>
      </c>
      <c r="F102" s="20"/>
      <c r="G102" s="20">
        <v>5000</v>
      </c>
      <c r="H102" s="20">
        <f>H101+Table1[[#This Row],[مبلغ ورود]]-Table1[[#This Row],[مبلغ خروج]]</f>
        <v>24103431</v>
      </c>
    </row>
    <row r="103" spans="1:8" ht="18.75">
      <c r="A103" s="17">
        <v>100</v>
      </c>
      <c r="B103" s="17" t="s">
        <v>239</v>
      </c>
      <c r="C103" s="19"/>
      <c r="E103" s="41" t="s">
        <v>237</v>
      </c>
      <c r="F103" s="20"/>
      <c r="G103" s="20">
        <v>10000</v>
      </c>
      <c r="H103" s="20">
        <f>H102+Table1[[#This Row],[مبلغ ورود]]-Table1[[#This Row],[مبلغ خروج]]</f>
        <v>24093431</v>
      </c>
    </row>
    <row r="104" spans="1:8" ht="18.75">
      <c r="A104" s="17">
        <v>101</v>
      </c>
      <c r="B104" s="17" t="s">
        <v>241</v>
      </c>
      <c r="C104" s="19"/>
      <c r="E104" s="41" t="s">
        <v>240</v>
      </c>
      <c r="F104" s="20"/>
      <c r="G104" s="20">
        <v>4000</v>
      </c>
      <c r="H104" s="20">
        <f>H103+Table1[[#This Row],[مبلغ ورود]]-Table1[[#This Row],[مبلغ خروج]]</f>
        <v>24089431</v>
      </c>
    </row>
    <row r="105" spans="1:8" ht="18.75">
      <c r="A105" s="17">
        <v>102</v>
      </c>
      <c r="B105" s="17" t="s">
        <v>243</v>
      </c>
      <c r="C105" s="19"/>
      <c r="E105" s="41" t="s">
        <v>242</v>
      </c>
      <c r="F105" s="20"/>
      <c r="G105" s="20">
        <v>43500</v>
      </c>
      <c r="H105" s="20">
        <f>H104+Table1[[#This Row],[مبلغ ورود]]-Table1[[#This Row],[مبلغ خروج]]</f>
        <v>24045931</v>
      </c>
    </row>
    <row r="106" spans="1:8" ht="18.75">
      <c r="A106" s="17">
        <v>103</v>
      </c>
      <c r="B106" s="17" t="s">
        <v>243</v>
      </c>
      <c r="C106" s="19"/>
      <c r="E106" s="41" t="s">
        <v>242</v>
      </c>
      <c r="F106" s="20"/>
      <c r="G106" s="20">
        <v>60000</v>
      </c>
      <c r="H106" s="20">
        <f>H105+Table1[[#This Row],[مبلغ ورود]]-Table1[[#This Row],[مبلغ خروج]]</f>
        <v>23985931</v>
      </c>
    </row>
    <row r="107" spans="1:8" ht="18.75">
      <c r="A107" s="17">
        <v>104</v>
      </c>
      <c r="B107" s="17" t="s">
        <v>244</v>
      </c>
      <c r="C107" s="19"/>
      <c r="E107" s="41" t="s">
        <v>242</v>
      </c>
      <c r="F107" s="20"/>
      <c r="G107" s="20">
        <v>60000</v>
      </c>
      <c r="H107" s="20">
        <f>H106+Table1[[#This Row],[مبلغ ورود]]-Table1[[#This Row],[مبلغ خروج]]</f>
        <v>23925931</v>
      </c>
    </row>
    <row r="108" spans="1:8" ht="18.75">
      <c r="A108" s="17">
        <v>105</v>
      </c>
      <c r="B108" s="17" t="s">
        <v>244</v>
      </c>
      <c r="C108" s="19"/>
      <c r="E108" s="41" t="s">
        <v>242</v>
      </c>
      <c r="F108" s="20"/>
      <c r="G108" s="20">
        <v>43500</v>
      </c>
      <c r="H108" s="20">
        <f>H107+Table1[[#This Row],[مبلغ ورود]]-Table1[[#This Row],[مبلغ خروج]]</f>
        <v>23882431</v>
      </c>
    </row>
    <row r="109" spans="1:8" ht="18.75">
      <c r="A109" s="17">
        <v>106</v>
      </c>
      <c r="B109" s="17" t="s">
        <v>246</v>
      </c>
      <c r="C109" s="19"/>
      <c r="E109" s="41" t="s">
        <v>245</v>
      </c>
      <c r="F109" s="20"/>
      <c r="G109" s="20">
        <v>36000</v>
      </c>
      <c r="H109" s="20">
        <f>H108+Table1[[#This Row],[مبلغ ورود]]-Table1[[#This Row],[مبلغ خروج]]</f>
        <v>23846431</v>
      </c>
    </row>
    <row r="110" spans="1:8" ht="30">
      <c r="A110" s="17">
        <v>107</v>
      </c>
      <c r="B110" s="17" t="s">
        <v>250</v>
      </c>
      <c r="C110" s="19" t="s">
        <v>249</v>
      </c>
      <c r="D110" s="18" t="s">
        <v>26</v>
      </c>
      <c r="E110" s="50" t="s">
        <v>248</v>
      </c>
      <c r="F110" s="20"/>
      <c r="G110" s="20">
        <v>7505000</v>
      </c>
      <c r="H110" s="20">
        <f>H109+Table1[[#This Row],[مبلغ ورود]]-Table1[[#This Row],[مبلغ خروج]]</f>
        <v>16341431</v>
      </c>
    </row>
    <row r="111" spans="1:8" ht="18.75">
      <c r="C111" s="19"/>
      <c r="E111" s="41" t="s">
        <v>270</v>
      </c>
      <c r="F111" s="20"/>
      <c r="G111" s="20">
        <v>21000</v>
      </c>
      <c r="H111" s="20">
        <f>H110+F111-G111</f>
        <v>16320431</v>
      </c>
    </row>
    <row r="112" spans="1:8" ht="37.5">
      <c r="A112" s="17">
        <v>108</v>
      </c>
      <c r="B112" s="17" t="s">
        <v>251</v>
      </c>
      <c r="C112" s="19" t="s">
        <v>252</v>
      </c>
      <c r="D112" s="18" t="s">
        <v>26</v>
      </c>
      <c r="E112" s="41" t="s">
        <v>253</v>
      </c>
      <c r="F112" s="20"/>
      <c r="G112" s="20">
        <f>52742619+52742619</f>
        <v>105485238</v>
      </c>
      <c r="H112" s="20">
        <f>H111+F112-G112</f>
        <v>-89164807</v>
      </c>
    </row>
    <row r="113" spans="1:8" ht="18.75">
      <c r="A113" s="17">
        <v>109</v>
      </c>
      <c r="B113" s="17" t="s">
        <v>251</v>
      </c>
      <c r="C113" s="19"/>
      <c r="E113" s="41" t="s">
        <v>44</v>
      </c>
      <c r="F113" s="20">
        <v>2000000000</v>
      </c>
      <c r="G113" s="20"/>
      <c r="H113" s="20">
        <f>H112+Table1[[#This Row],[مبلغ ورود]]-Table1[[#This Row],[مبلغ خروج]]</f>
        <v>1910835193</v>
      </c>
    </row>
    <row r="114" spans="1:8" ht="37.5">
      <c r="A114" s="17">
        <v>110</v>
      </c>
      <c r="B114" s="17" t="s">
        <v>254</v>
      </c>
      <c r="C114" s="19" t="s">
        <v>255</v>
      </c>
      <c r="D114" s="18" t="s">
        <v>26</v>
      </c>
      <c r="E114" s="41" t="s">
        <v>256</v>
      </c>
      <c r="F114" s="20"/>
      <c r="G114" s="20">
        <v>27381200</v>
      </c>
      <c r="H114" s="20">
        <f>H113+Table1[[#This Row],[مبلغ ورود]]-Table1[[#This Row],[مبلغ خروج]]</f>
        <v>1883453993</v>
      </c>
    </row>
    <row r="115" spans="1:8" ht="56.25">
      <c r="A115" s="17">
        <v>111</v>
      </c>
      <c r="B115" s="17" t="s">
        <v>254</v>
      </c>
      <c r="C115" s="19" t="s">
        <v>257</v>
      </c>
      <c r="D115" s="18" t="s">
        <v>26</v>
      </c>
      <c r="E115" s="41" t="s">
        <v>258</v>
      </c>
      <c r="F115" s="20"/>
      <c r="G115" s="20">
        <v>51565676</v>
      </c>
      <c r="H115" s="20">
        <f>H114+Table1[[#This Row],[مبلغ ورود]]-Table1[[#This Row],[مبلغ خروج]]</f>
        <v>1831888317</v>
      </c>
    </row>
    <row r="116" spans="1:8" ht="56.25">
      <c r="A116" s="17">
        <v>112</v>
      </c>
      <c r="B116" s="17" t="s">
        <v>254</v>
      </c>
      <c r="C116" s="19" t="s">
        <v>259</v>
      </c>
      <c r="D116" s="18" t="s">
        <v>26</v>
      </c>
      <c r="E116" s="41" t="s">
        <v>260</v>
      </c>
      <c r="F116" s="20"/>
      <c r="G116" s="20">
        <v>6455557</v>
      </c>
      <c r="H116" s="20">
        <f>H115+Table1[[#This Row],[مبلغ ورود]]-Table1[[#This Row],[مبلغ خروج]]</f>
        <v>1825432760</v>
      </c>
    </row>
    <row r="117" spans="1:8" ht="37.5">
      <c r="A117" s="17">
        <v>113</v>
      </c>
      <c r="B117" s="17" t="s">
        <v>254</v>
      </c>
      <c r="C117" s="19" t="s">
        <v>261</v>
      </c>
      <c r="D117" s="18" t="s">
        <v>26</v>
      </c>
      <c r="E117" s="41" t="s">
        <v>262</v>
      </c>
      <c r="F117" s="20"/>
      <c r="G117" s="20">
        <v>33110838</v>
      </c>
      <c r="H117" s="20">
        <f>H116+Table1[[#This Row],[مبلغ ورود]]-Table1[[#This Row],[مبلغ خروج]]</f>
        <v>1792321922</v>
      </c>
    </row>
    <row r="118" spans="1:8" ht="37.5">
      <c r="A118" s="17">
        <v>114</v>
      </c>
      <c r="B118" s="17" t="s">
        <v>254</v>
      </c>
      <c r="C118" s="19" t="s">
        <v>265</v>
      </c>
      <c r="D118" s="18" t="s">
        <v>26</v>
      </c>
      <c r="E118" s="41" t="s">
        <v>264</v>
      </c>
      <c r="F118" s="20"/>
      <c r="G118" s="20">
        <v>177506586</v>
      </c>
      <c r="H118" s="20">
        <f>H117+Table1[[#This Row],[مبلغ ورود]]-Table1[[#This Row],[مبلغ خروج]]</f>
        <v>1614815336</v>
      </c>
    </row>
    <row r="119" spans="1:8" ht="18.75">
      <c r="A119" s="17">
        <v>115</v>
      </c>
      <c r="C119" s="19" t="s">
        <v>263</v>
      </c>
      <c r="E119" s="41" t="s">
        <v>105</v>
      </c>
      <c r="F119" s="20"/>
      <c r="G119" s="20"/>
      <c r="H119" s="20">
        <f>H118+Table1[[#This Row],[مبلغ ورود]]-Table1[[#This Row],[مبلغ خروج]]</f>
        <v>1614815336</v>
      </c>
    </row>
    <row r="120" spans="1:8" ht="37.5">
      <c r="A120" s="17">
        <v>116</v>
      </c>
      <c r="B120" s="52" t="s">
        <v>266</v>
      </c>
      <c r="C120" s="19" t="s">
        <v>274</v>
      </c>
      <c r="D120" s="17" t="s">
        <v>26</v>
      </c>
      <c r="E120" s="41" t="s">
        <v>267</v>
      </c>
      <c r="F120" s="20"/>
      <c r="G120" s="40">
        <v>105508460</v>
      </c>
      <c r="H120" s="20">
        <f>H119+Table1[[#This Row],[مبلغ ورود]]-Table1[[#This Row],[مبلغ خروج]]</f>
        <v>1509306876</v>
      </c>
    </row>
    <row r="121" spans="1:8" ht="18.75">
      <c r="A121" s="17">
        <v>117</v>
      </c>
      <c r="B121" s="17" t="s">
        <v>269</v>
      </c>
      <c r="C121" s="19"/>
      <c r="D121" s="17" t="s">
        <v>26</v>
      </c>
      <c r="E121" s="41" t="s">
        <v>270</v>
      </c>
      <c r="F121" s="20"/>
      <c r="G121" s="20">
        <v>6000</v>
      </c>
      <c r="H121" s="20">
        <f>H120+Table1[[#This Row],[مبلغ ورود]]-Table1[[#This Row],[مبلغ خروج]]</f>
        <v>1509300876</v>
      </c>
    </row>
    <row r="122" spans="1:8" ht="18.75">
      <c r="A122" s="17">
        <v>118</v>
      </c>
      <c r="B122" s="17" t="s">
        <v>273</v>
      </c>
      <c r="C122" s="19" t="s">
        <v>275</v>
      </c>
      <c r="D122" s="17" t="s">
        <v>26</v>
      </c>
      <c r="E122" s="41" t="s">
        <v>281</v>
      </c>
      <c r="F122" s="20"/>
      <c r="G122" s="20">
        <v>0</v>
      </c>
      <c r="H122" s="20">
        <f t="shared" ref="H122:H126" si="0">H121+F122-G122</f>
        <v>1509300876</v>
      </c>
    </row>
    <row r="123" spans="1:8" ht="18.75">
      <c r="A123" s="17">
        <v>119</v>
      </c>
      <c r="B123" s="17" t="s">
        <v>273</v>
      </c>
      <c r="C123" s="19" t="s">
        <v>276</v>
      </c>
      <c r="D123" s="17" t="s">
        <v>26</v>
      </c>
      <c r="E123" s="41" t="s">
        <v>281</v>
      </c>
      <c r="F123" s="20"/>
      <c r="G123" s="20">
        <v>0</v>
      </c>
      <c r="H123" s="20">
        <f t="shared" si="0"/>
        <v>1509300876</v>
      </c>
    </row>
    <row r="124" spans="1:8" ht="37.5">
      <c r="A124" s="17">
        <v>120</v>
      </c>
      <c r="B124" s="17" t="s">
        <v>273</v>
      </c>
      <c r="C124" s="19" t="s">
        <v>277</v>
      </c>
      <c r="D124" s="17" t="s">
        <v>26</v>
      </c>
      <c r="E124" s="41" t="s">
        <v>272</v>
      </c>
      <c r="F124" s="20"/>
      <c r="G124" s="20">
        <v>33110838</v>
      </c>
      <c r="H124" s="20">
        <f t="shared" si="0"/>
        <v>1476190038</v>
      </c>
    </row>
    <row r="125" spans="1:8" ht="37.5">
      <c r="A125" s="17">
        <v>121</v>
      </c>
      <c r="B125" s="17" t="s">
        <v>273</v>
      </c>
      <c r="C125" s="19" t="s">
        <v>278</v>
      </c>
      <c r="D125" s="17" t="s">
        <v>26</v>
      </c>
      <c r="E125" s="41" t="s">
        <v>271</v>
      </c>
      <c r="F125" s="20"/>
      <c r="G125" s="20">
        <v>172728988</v>
      </c>
      <c r="H125" s="20">
        <f t="shared" si="0"/>
        <v>1303461050</v>
      </c>
    </row>
    <row r="126" spans="1:8" ht="56.25">
      <c r="A126" s="17">
        <v>122</v>
      </c>
      <c r="B126" s="17" t="s">
        <v>273</v>
      </c>
      <c r="C126" s="19" t="s">
        <v>279</v>
      </c>
      <c r="D126" s="17" t="s">
        <v>26</v>
      </c>
      <c r="E126" s="41" t="s">
        <v>280</v>
      </c>
      <c r="F126" s="20"/>
      <c r="G126" s="20">
        <v>85048000</v>
      </c>
      <c r="H126" s="20">
        <f t="shared" si="0"/>
        <v>1218413050</v>
      </c>
    </row>
    <row r="127" spans="1:8" ht="56.25">
      <c r="A127" s="17">
        <v>123</v>
      </c>
      <c r="B127" s="17" t="s">
        <v>273</v>
      </c>
      <c r="C127" s="19" t="s">
        <v>282</v>
      </c>
      <c r="D127" s="17" t="s">
        <v>26</v>
      </c>
      <c r="E127" s="41" t="s">
        <v>284</v>
      </c>
      <c r="F127" s="20"/>
      <c r="G127" s="20">
        <v>48582744</v>
      </c>
      <c r="H127" s="20">
        <f t="shared" ref="H127:H157" si="1">H126+F127-G127</f>
        <v>1169830306</v>
      </c>
    </row>
    <row r="128" spans="1:8" ht="56.25">
      <c r="A128" s="17">
        <v>124</v>
      </c>
      <c r="B128" s="17" t="s">
        <v>273</v>
      </c>
      <c r="C128" s="19" t="s">
        <v>283</v>
      </c>
      <c r="D128" s="17" t="s">
        <v>26</v>
      </c>
      <c r="E128" s="41" t="s">
        <v>285</v>
      </c>
      <c r="F128" s="20"/>
      <c r="G128" s="20">
        <v>26787802</v>
      </c>
      <c r="H128" s="20">
        <f t="shared" si="1"/>
        <v>1143042504</v>
      </c>
    </row>
    <row r="129" spans="1:8" ht="18.75">
      <c r="A129" s="17">
        <v>125</v>
      </c>
      <c r="B129" s="17" t="s">
        <v>286</v>
      </c>
      <c r="C129" s="19"/>
      <c r="D129" s="17" t="s">
        <v>26</v>
      </c>
      <c r="E129" s="41" t="s">
        <v>270</v>
      </c>
      <c r="F129" s="20"/>
      <c r="G129" s="20">
        <v>66000</v>
      </c>
      <c r="H129" s="20">
        <f t="shared" si="1"/>
        <v>1142976504</v>
      </c>
    </row>
    <row r="130" spans="1:8" ht="18.75">
      <c r="A130" s="17">
        <v>126</v>
      </c>
      <c r="B130" s="17" t="s">
        <v>287</v>
      </c>
      <c r="C130" s="19"/>
      <c r="D130" s="17" t="s">
        <v>26</v>
      </c>
      <c r="E130" s="41" t="s">
        <v>270</v>
      </c>
      <c r="F130" s="20"/>
      <c r="G130" s="20">
        <v>6000</v>
      </c>
      <c r="H130" s="20">
        <f t="shared" si="1"/>
        <v>1142970504</v>
      </c>
    </row>
    <row r="131" spans="1:8" ht="18.75">
      <c r="A131" s="17">
        <v>127</v>
      </c>
      <c r="B131" s="17" t="s">
        <v>290</v>
      </c>
      <c r="C131" s="19"/>
      <c r="D131" s="17" t="s">
        <v>26</v>
      </c>
      <c r="E131" s="41" t="s">
        <v>270</v>
      </c>
      <c r="F131" s="20"/>
      <c r="G131" s="20">
        <v>6000</v>
      </c>
      <c r="H131" s="20">
        <f t="shared" si="1"/>
        <v>1142964504</v>
      </c>
    </row>
    <row r="132" spans="1:8" ht="37.5">
      <c r="A132" s="17">
        <v>128</v>
      </c>
      <c r="B132" s="17" t="s">
        <v>289</v>
      </c>
      <c r="C132" s="19" t="s">
        <v>288</v>
      </c>
      <c r="D132" s="17" t="s">
        <v>26</v>
      </c>
      <c r="E132" s="41" t="s">
        <v>291</v>
      </c>
      <c r="F132" s="20"/>
      <c r="G132" s="20">
        <v>159741153</v>
      </c>
      <c r="H132" s="20">
        <f t="shared" si="1"/>
        <v>983223351</v>
      </c>
    </row>
    <row r="133" spans="1:8" ht="18.75">
      <c r="A133" s="17">
        <v>129</v>
      </c>
      <c r="B133" s="17" t="s">
        <v>302</v>
      </c>
      <c r="C133" s="19"/>
      <c r="D133" s="55"/>
      <c r="E133" s="41" t="s">
        <v>303</v>
      </c>
      <c r="F133" s="20"/>
      <c r="G133" s="20">
        <v>6000</v>
      </c>
      <c r="H133" s="20">
        <f t="shared" si="1"/>
        <v>983217351</v>
      </c>
    </row>
    <row r="134" spans="1:8" ht="18.75">
      <c r="A134" s="17">
        <v>130</v>
      </c>
      <c r="B134" s="17" t="s">
        <v>304</v>
      </c>
      <c r="C134" s="19"/>
      <c r="D134" s="55"/>
      <c r="E134" s="41" t="s">
        <v>305</v>
      </c>
      <c r="F134" s="20">
        <v>6158000</v>
      </c>
      <c r="G134" s="20"/>
      <c r="H134" s="20">
        <f t="shared" si="1"/>
        <v>989375351</v>
      </c>
    </row>
    <row r="135" spans="1:8" ht="37.5">
      <c r="A135" s="17">
        <v>131</v>
      </c>
      <c r="B135" s="17" t="s">
        <v>293</v>
      </c>
      <c r="C135" s="19" t="s">
        <v>292</v>
      </c>
      <c r="D135" s="17" t="s">
        <v>26</v>
      </c>
      <c r="E135" s="41" t="s">
        <v>291</v>
      </c>
      <c r="F135" s="20"/>
      <c r="G135" s="20">
        <v>159584799</v>
      </c>
      <c r="H135" s="20">
        <f t="shared" si="1"/>
        <v>829790552</v>
      </c>
    </row>
    <row r="136" spans="1:8" ht="37.5">
      <c r="A136" s="17">
        <v>132</v>
      </c>
      <c r="B136" s="17" t="s">
        <v>293</v>
      </c>
      <c r="C136" s="19" t="s">
        <v>295</v>
      </c>
      <c r="D136" s="17" t="s">
        <v>26</v>
      </c>
      <c r="E136" s="41" t="s">
        <v>294</v>
      </c>
      <c r="F136" s="20"/>
      <c r="G136" s="20">
        <v>185565125</v>
      </c>
      <c r="H136" s="20">
        <f t="shared" si="1"/>
        <v>644225427</v>
      </c>
    </row>
    <row r="137" spans="1:8" ht="37.5">
      <c r="A137" s="17">
        <v>133</v>
      </c>
      <c r="B137" s="17" t="s">
        <v>293</v>
      </c>
      <c r="C137" s="19" t="s">
        <v>297</v>
      </c>
      <c r="D137" s="17" t="s">
        <v>26</v>
      </c>
      <c r="E137" s="41" t="s">
        <v>296</v>
      </c>
      <c r="F137" s="20"/>
      <c r="G137" s="20">
        <v>49666257</v>
      </c>
      <c r="H137" s="20">
        <f t="shared" si="1"/>
        <v>594559170</v>
      </c>
    </row>
    <row r="138" spans="1:8" ht="56.25">
      <c r="A138" s="17">
        <v>134</v>
      </c>
      <c r="B138" s="17" t="s">
        <v>293</v>
      </c>
      <c r="C138" s="19" t="s">
        <v>299</v>
      </c>
      <c r="D138" s="17" t="s">
        <v>26</v>
      </c>
      <c r="E138" s="41" t="s">
        <v>298</v>
      </c>
      <c r="F138" s="20"/>
      <c r="G138" s="20">
        <v>47924218</v>
      </c>
      <c r="H138" s="20">
        <f t="shared" si="1"/>
        <v>546634952</v>
      </c>
    </row>
    <row r="139" spans="1:8" ht="56.25">
      <c r="A139" s="17">
        <v>135</v>
      </c>
      <c r="B139" s="17" t="s">
        <v>293</v>
      </c>
      <c r="C139" s="19" t="s">
        <v>301</v>
      </c>
      <c r="D139" s="17" t="s">
        <v>26</v>
      </c>
      <c r="E139" s="41" t="s">
        <v>300</v>
      </c>
      <c r="F139" s="20"/>
      <c r="G139" s="20">
        <v>24884757</v>
      </c>
      <c r="H139" s="20">
        <f t="shared" si="1"/>
        <v>521750195</v>
      </c>
    </row>
    <row r="140" spans="1:8" ht="18.75">
      <c r="A140" s="17">
        <v>136</v>
      </c>
      <c r="B140" s="17" t="s">
        <v>306</v>
      </c>
      <c r="C140" s="19"/>
      <c r="D140" s="17" t="s">
        <v>26</v>
      </c>
      <c r="E140" s="41" t="s">
        <v>307</v>
      </c>
      <c r="F140" s="20"/>
      <c r="G140" s="20">
        <f>6000+30000+30000</f>
        <v>66000</v>
      </c>
      <c r="H140" s="20">
        <f t="shared" si="1"/>
        <v>521684195</v>
      </c>
    </row>
    <row r="141" spans="1:8" ht="18.75">
      <c r="A141" s="17">
        <v>137</v>
      </c>
      <c r="B141" s="17" t="s">
        <v>309</v>
      </c>
      <c r="C141" s="19"/>
      <c r="D141" s="17" t="s">
        <v>26</v>
      </c>
      <c r="E141" s="41" t="s">
        <v>308</v>
      </c>
      <c r="F141" s="20"/>
      <c r="G141" s="20">
        <v>110000</v>
      </c>
      <c r="H141" s="20">
        <f t="shared" si="1"/>
        <v>521574195</v>
      </c>
    </row>
    <row r="142" spans="1:8" ht="18.75">
      <c r="A142" s="17">
        <v>138</v>
      </c>
      <c r="B142" s="17" t="s">
        <v>313</v>
      </c>
      <c r="C142" s="19"/>
      <c r="D142" s="17" t="s">
        <v>26</v>
      </c>
      <c r="E142" s="41" t="s">
        <v>303</v>
      </c>
      <c r="F142" s="20"/>
      <c r="G142" s="20">
        <v>6000</v>
      </c>
      <c r="H142" s="20">
        <f t="shared" si="1"/>
        <v>521568195</v>
      </c>
    </row>
    <row r="143" spans="1:8" ht="18.75">
      <c r="A143" s="17">
        <v>139</v>
      </c>
      <c r="B143" s="17" t="s">
        <v>311</v>
      </c>
      <c r="C143" s="19"/>
      <c r="D143" s="17" t="s">
        <v>26</v>
      </c>
      <c r="E143" s="41" t="s">
        <v>303</v>
      </c>
      <c r="F143" s="20"/>
      <c r="G143" s="20">
        <v>6000</v>
      </c>
      <c r="H143" s="20">
        <f t="shared" si="1"/>
        <v>521562195</v>
      </c>
    </row>
    <row r="144" spans="1:8" ht="37.5">
      <c r="A144" s="17">
        <v>140</v>
      </c>
      <c r="B144" s="17" t="s">
        <v>311</v>
      </c>
      <c r="C144" s="19" t="s">
        <v>312</v>
      </c>
      <c r="D144" s="17" t="s">
        <v>26</v>
      </c>
      <c r="E144" s="41" t="s">
        <v>310</v>
      </c>
      <c r="F144" s="20"/>
      <c r="G144" s="20">
        <v>158331728</v>
      </c>
      <c r="H144" s="20">
        <f t="shared" si="1"/>
        <v>363230467</v>
      </c>
    </row>
    <row r="145" spans="1:8" ht="37.5">
      <c r="A145" s="17">
        <v>141</v>
      </c>
      <c r="B145" s="17" t="s">
        <v>315</v>
      </c>
      <c r="C145" s="19" t="s">
        <v>314</v>
      </c>
      <c r="D145" s="17" t="s">
        <v>26</v>
      </c>
      <c r="E145" s="41" t="s">
        <v>316</v>
      </c>
      <c r="F145" s="20"/>
      <c r="G145" s="20">
        <v>90278378</v>
      </c>
      <c r="H145" s="20">
        <f t="shared" si="1"/>
        <v>272952089</v>
      </c>
    </row>
    <row r="146" spans="1:8" ht="18.75">
      <c r="A146" s="17">
        <v>142</v>
      </c>
      <c r="B146" s="17" t="s">
        <v>318</v>
      </c>
      <c r="C146" s="19"/>
      <c r="D146" s="17" t="s">
        <v>26</v>
      </c>
      <c r="E146" s="41" t="s">
        <v>303</v>
      </c>
      <c r="F146" s="20"/>
      <c r="G146" s="20">
        <v>6000</v>
      </c>
      <c r="H146" s="20">
        <f t="shared" si="1"/>
        <v>272946089</v>
      </c>
    </row>
    <row r="147" spans="1:8" ht="18.75">
      <c r="A147" s="17">
        <v>143</v>
      </c>
      <c r="B147" s="17" t="s">
        <v>317</v>
      </c>
      <c r="C147" s="19"/>
      <c r="D147" s="17" t="s">
        <v>26</v>
      </c>
      <c r="E147" s="41" t="s">
        <v>303</v>
      </c>
      <c r="F147" s="20"/>
      <c r="G147" s="20">
        <v>6000</v>
      </c>
      <c r="H147" s="20">
        <f t="shared" si="1"/>
        <v>272940089</v>
      </c>
    </row>
    <row r="148" spans="1:8" ht="18.75">
      <c r="C148" s="19"/>
      <c r="F148" s="20"/>
      <c r="G148" s="20"/>
      <c r="H148" s="20">
        <f t="shared" si="1"/>
        <v>272940089</v>
      </c>
    </row>
    <row r="149" spans="1:8" ht="18.75">
      <c r="C149" s="19"/>
      <c r="F149" s="20"/>
      <c r="G149" s="20"/>
      <c r="H149" s="20">
        <f t="shared" si="1"/>
        <v>272940089</v>
      </c>
    </row>
    <row r="150" spans="1:8" ht="18.75">
      <c r="C150" s="19"/>
      <c r="F150" s="20"/>
      <c r="G150" s="20"/>
      <c r="H150" s="20">
        <f t="shared" si="1"/>
        <v>272940089</v>
      </c>
    </row>
    <row r="151" spans="1:8" ht="18.75">
      <c r="C151" s="19"/>
      <c r="D151" s="55"/>
      <c r="F151" s="20"/>
      <c r="G151" s="20"/>
      <c r="H151" s="20">
        <f t="shared" si="1"/>
        <v>272940089</v>
      </c>
    </row>
    <row r="152" spans="1:8" ht="18.75">
      <c r="C152" s="19"/>
      <c r="D152" s="54"/>
      <c r="F152" s="20"/>
      <c r="G152" s="20"/>
      <c r="H152" s="20">
        <f t="shared" si="1"/>
        <v>272940089</v>
      </c>
    </row>
    <row r="153" spans="1:8" ht="18.75">
      <c r="C153" s="19"/>
      <c r="D153" s="54"/>
      <c r="F153" s="20"/>
      <c r="G153" s="20"/>
      <c r="H153" s="20">
        <f t="shared" si="1"/>
        <v>272940089</v>
      </c>
    </row>
    <row r="154" spans="1:8" ht="18.75">
      <c r="C154" s="19"/>
      <c r="D154" s="54"/>
      <c r="F154" s="20"/>
      <c r="G154" s="20"/>
      <c r="H154" s="20">
        <f t="shared" si="1"/>
        <v>272940089</v>
      </c>
    </row>
    <row r="155" spans="1:8" ht="18.75">
      <c r="C155" s="19"/>
      <c r="D155" s="54"/>
      <c r="F155" s="20"/>
      <c r="G155" s="20"/>
      <c r="H155" s="20">
        <f t="shared" si="1"/>
        <v>272940089</v>
      </c>
    </row>
    <row r="156" spans="1:8" ht="18.75">
      <c r="C156" s="19"/>
      <c r="F156" s="20"/>
      <c r="G156" s="20"/>
      <c r="H156" s="20">
        <f t="shared" si="1"/>
        <v>272940089</v>
      </c>
    </row>
    <row r="157" spans="1:8" ht="18.75">
      <c r="C157" s="19"/>
      <c r="D157" s="51"/>
      <c r="E157" s="50"/>
      <c r="F157" s="20"/>
      <c r="G157" s="20"/>
      <c r="H157" s="20">
        <f t="shared" si="1"/>
        <v>272940089</v>
      </c>
    </row>
    <row r="158" spans="1:8" ht="38.25" customHeight="1">
      <c r="F158" s="45">
        <f>SUBTOTAL(109,Table1[مبلغ ورود])</f>
        <v>62759999424</v>
      </c>
      <c r="G158" s="45">
        <f>SUBTOTAL(109,Table1[مبلغ خروج])</f>
        <v>62487059335</v>
      </c>
      <c r="H158" s="45">
        <f>Table1[[#Totals],[مبلغ ورود]]-Table1[[#Totals],[مبلغ خروج]]</f>
        <v>272940089</v>
      </c>
    </row>
  </sheetData>
  <mergeCells count="2">
    <mergeCell ref="A1:H1"/>
    <mergeCell ref="A2:H2"/>
  </mergeCells>
  <phoneticPr fontId="17" type="noConversion"/>
  <printOptions horizontalCentered="1"/>
  <pageMargins left="0.70866141732283472" right="0.70866141732283472" top="0.74803149606299213" bottom="1.5354330708661419" header="0.31496062992125984" footer="1.1023622047244095"/>
  <pageSetup paperSize="9" scale="71" orientation="landscape" r:id="rId1"/>
  <headerFooter>
    <oddFooter>&amp;L&amp;P of&amp;N&amp;C&amp;"B Nazanin,Bold"&amp;10میکاییل نوروزی&amp;R&amp;D</oddFooter>
  </headerFooter>
  <ignoredErrors>
    <ignoredError sqref="C126" numberStoredAsText="1"/>
  </ignoredError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23"/>
  <sheetViews>
    <sheetView rightToLeft="1" view="pageBreakPreview" zoomScale="106" zoomScaleNormal="100" zoomScaleSheetLayoutView="106" workbookViewId="0">
      <selection activeCell="E9" sqref="E9:F9"/>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5" t="e">
        <f>'1399'!#REF!</f>
        <v>#REF!</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t="e">
        <f>'1399'!#REF!</f>
        <v>#REF!</v>
      </c>
      <c r="C9" s="23" t="s">
        <v>11</v>
      </c>
      <c r="D9" s="24" t="s">
        <v>30</v>
      </c>
      <c r="E9" s="148" t="e">
        <f>[2]!abh(B9)</f>
        <v>#VALUE!</v>
      </c>
      <c r="F9" s="149"/>
      <c r="G9" s="25" t="s">
        <v>11</v>
      </c>
    </row>
    <row r="10" spans="1:7" ht="77.25" customHeight="1">
      <c r="A10" s="21" t="s">
        <v>12</v>
      </c>
      <c r="B10" s="156" t="e">
        <f>'1399'!#REF!</f>
        <v>#REF!</v>
      </c>
      <c r="C10" s="156"/>
      <c r="D10" s="156"/>
      <c r="E10" s="156"/>
      <c r="F10" s="156"/>
      <c r="G10" s="157"/>
    </row>
    <row r="11" spans="1:7" ht="33" customHeight="1" thickBot="1">
      <c r="A11" s="30" t="s">
        <v>13</v>
      </c>
      <c r="B11" s="35" t="str">
        <f>'1399'!D26</f>
        <v>بانک ملت</v>
      </c>
      <c r="C11" s="31"/>
      <c r="D11" s="32" t="s">
        <v>14</v>
      </c>
      <c r="E11" s="31"/>
      <c r="F11" s="158"/>
      <c r="G11" s="153"/>
    </row>
    <row r="12" spans="1:7" ht="3.75" customHeight="1" thickBot="1"/>
    <row r="13" spans="1:7" ht="32.25" thickBot="1">
      <c r="A13" s="33" t="s">
        <v>15</v>
      </c>
      <c r="B13" s="38" t="e">
        <f>'1399'!#REF!</f>
        <v>#REF!</v>
      </c>
      <c r="C13" s="34" t="s">
        <v>16</v>
      </c>
      <c r="D13" s="39" t="e">
        <f>'1399'!#REF!</f>
        <v>#REF!</v>
      </c>
      <c r="E13" s="34" t="s">
        <v>17</v>
      </c>
      <c r="F13" s="144" t="s">
        <v>28</v>
      </c>
      <c r="G13" s="145"/>
    </row>
    <row r="14" spans="1:7" ht="3.75" customHeight="1" thickBot="1"/>
    <row r="15" spans="1:7" ht="19.5">
      <c r="A15" s="53" t="s">
        <v>20</v>
      </c>
      <c r="B15" s="10" t="s">
        <v>268</v>
      </c>
      <c r="C15" s="9"/>
      <c r="D15" s="10" t="s">
        <v>21</v>
      </c>
      <c r="E15" s="10"/>
      <c r="F15" s="121" t="s">
        <v>22</v>
      </c>
      <c r="G15" s="122"/>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7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23"/>
  <sheetViews>
    <sheetView rightToLeft="1" view="pageBreakPreview" zoomScale="106" zoomScaleNormal="100" zoomScaleSheetLayoutView="106" workbookViewId="0">
      <selection activeCell="E9" sqref="E9:F9"/>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5" t="str">
        <f>'1399'!B113</f>
        <v>1399/08/24</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f>'1399'!G113</f>
        <v>0</v>
      </c>
      <c r="C9" s="23" t="s">
        <v>11</v>
      </c>
      <c r="D9" s="24" t="s">
        <v>30</v>
      </c>
      <c r="E9" s="148" t="str">
        <f>[2]!abh(B9)</f>
        <v>صفر</v>
      </c>
      <c r="F9" s="149"/>
      <c r="G9" s="25" t="s">
        <v>11</v>
      </c>
    </row>
    <row r="10" spans="1:7" ht="77.25" customHeight="1">
      <c r="A10" s="21" t="s">
        <v>12</v>
      </c>
      <c r="B10" s="156" t="str">
        <f>'1399'!E113</f>
        <v>واریزی از بانک اقتصادنوین بابت تامین موجودی</v>
      </c>
      <c r="C10" s="156"/>
      <c r="D10" s="156"/>
      <c r="E10" s="156"/>
      <c r="F10" s="156"/>
      <c r="G10" s="157"/>
    </row>
    <row r="11" spans="1:7" ht="33" customHeight="1" thickBot="1">
      <c r="A11" s="30" t="s">
        <v>13</v>
      </c>
      <c r="B11" s="35" t="str">
        <f>'1399'!D60</f>
        <v>بانک ملت</v>
      </c>
      <c r="C11" s="31"/>
      <c r="D11" s="32" t="s">
        <v>14</v>
      </c>
      <c r="E11" s="31"/>
      <c r="F11" s="158"/>
      <c r="G11" s="153"/>
    </row>
    <row r="12" spans="1:7" ht="3.75" customHeight="1" thickBot="1"/>
    <row r="13" spans="1:7" ht="32.25" thickBot="1">
      <c r="A13" s="33" t="s">
        <v>15</v>
      </c>
      <c r="B13" s="38">
        <f>'1399'!C113</f>
        <v>0</v>
      </c>
      <c r="C13" s="34" t="s">
        <v>16</v>
      </c>
      <c r="D13" s="39" t="str">
        <f>'1399'!B113</f>
        <v>1399/08/24</v>
      </c>
      <c r="E13" s="34" t="s">
        <v>17</v>
      </c>
      <c r="F13" s="144" t="s">
        <v>28</v>
      </c>
      <c r="G13" s="145"/>
    </row>
    <row r="14" spans="1:7" ht="3.75" customHeight="1" thickBot="1"/>
    <row r="15" spans="1:7" ht="19.5">
      <c r="A15" s="6"/>
      <c r="B15" s="9" t="s">
        <v>20</v>
      </c>
      <c r="C15" s="9" t="s">
        <v>21</v>
      </c>
      <c r="D15" s="7"/>
      <c r="E15" s="10" t="s">
        <v>22</v>
      </c>
      <c r="F15" s="140"/>
      <c r="G15" s="141"/>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23"/>
  <sheetViews>
    <sheetView rightToLeft="1" view="pageBreakPreview" zoomScale="106" zoomScaleNormal="100" zoomScaleSheetLayoutView="106" workbookViewId="0">
      <selection activeCell="E9" sqref="E9:F9"/>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5" t="e">
        <f>'1399'!#REF!</f>
        <v>#REF!</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t="e">
        <f>'1399'!#REF!</f>
        <v>#REF!</v>
      </c>
      <c r="C9" s="23" t="s">
        <v>11</v>
      </c>
      <c r="D9" s="24" t="s">
        <v>30</v>
      </c>
      <c r="E9" s="148" t="e">
        <f>[2]!abh(B9)</f>
        <v>#VALUE!</v>
      </c>
      <c r="F9" s="149"/>
      <c r="G9" s="25" t="s">
        <v>11</v>
      </c>
    </row>
    <row r="10" spans="1:7" ht="77.25" customHeight="1">
      <c r="A10" s="21" t="s">
        <v>12</v>
      </c>
      <c r="B10" s="156" t="e">
        <f>'1399'!#REF!</f>
        <v>#REF!</v>
      </c>
      <c r="C10" s="156"/>
      <c r="D10" s="156"/>
      <c r="E10" s="156"/>
      <c r="F10" s="156"/>
      <c r="G10" s="157"/>
    </row>
    <row r="11" spans="1:7" ht="33" customHeight="1" thickBot="1">
      <c r="A11" s="30" t="s">
        <v>13</v>
      </c>
      <c r="B11" s="35" t="e">
        <f>'1399'!#REF!</f>
        <v>#REF!</v>
      </c>
      <c r="C11" s="31"/>
      <c r="D11" s="32" t="s">
        <v>14</v>
      </c>
      <c r="E11" s="31"/>
      <c r="F11" s="158"/>
      <c r="G11" s="153"/>
    </row>
    <row r="12" spans="1:7" ht="3.75" customHeight="1" thickBot="1"/>
    <row r="13" spans="1:7" ht="32.25" thickBot="1">
      <c r="A13" s="33" t="s">
        <v>15</v>
      </c>
      <c r="B13" s="38" t="e">
        <f>'1399'!#REF!</f>
        <v>#REF!</v>
      </c>
      <c r="C13" s="34" t="s">
        <v>16</v>
      </c>
      <c r="D13" s="39" t="e">
        <f>'1399'!#REF!</f>
        <v>#REF!</v>
      </c>
      <c r="E13" s="34" t="s">
        <v>17</v>
      </c>
      <c r="F13" s="144" t="s">
        <v>28</v>
      </c>
      <c r="G13" s="145"/>
    </row>
    <row r="14" spans="1:7" ht="3.75" customHeight="1" thickBot="1"/>
    <row r="15" spans="1:7" ht="19.5">
      <c r="A15" s="6"/>
      <c r="B15" s="9" t="s">
        <v>20</v>
      </c>
      <c r="C15" s="9" t="s">
        <v>21</v>
      </c>
      <c r="D15" s="7"/>
      <c r="E15" s="10" t="s">
        <v>22</v>
      </c>
      <c r="F15" s="140"/>
      <c r="G15" s="141"/>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7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G23"/>
  <sheetViews>
    <sheetView rightToLeft="1" view="pageBreakPreview" zoomScale="106" zoomScaleNormal="100" zoomScaleSheetLayoutView="106" workbookViewId="0">
      <selection activeCell="B10" sqref="B10:G10"/>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5" t="e">
        <f>'1399'!#REF!</f>
        <v>#REF!</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t="e">
        <f>'1399'!#REF!</f>
        <v>#REF!</v>
      </c>
      <c r="C9" s="23" t="s">
        <v>11</v>
      </c>
      <c r="D9" s="24" t="s">
        <v>30</v>
      </c>
      <c r="E9" s="148" t="e">
        <f>[2]!abh(B9)</f>
        <v>#VALUE!</v>
      </c>
      <c r="F9" s="149"/>
      <c r="G9" s="25" t="s">
        <v>11</v>
      </c>
    </row>
    <row r="10" spans="1:7" ht="77.25" customHeight="1">
      <c r="A10" s="21" t="s">
        <v>12</v>
      </c>
      <c r="B10" s="156" t="e">
        <f>'1399'!#REF!</f>
        <v>#REF!</v>
      </c>
      <c r="C10" s="156"/>
      <c r="D10" s="156"/>
      <c r="E10" s="156"/>
      <c r="F10" s="156"/>
      <c r="G10" s="157"/>
    </row>
    <row r="11" spans="1:7" ht="33" customHeight="1" thickBot="1">
      <c r="A11" s="30" t="s">
        <v>13</v>
      </c>
      <c r="B11" s="35" t="e">
        <f>'1399'!#REF!</f>
        <v>#REF!</v>
      </c>
      <c r="C11" s="31"/>
      <c r="D11" s="32" t="s">
        <v>14</v>
      </c>
      <c r="E11" s="31"/>
      <c r="F11" s="158"/>
      <c r="G11" s="153"/>
    </row>
    <row r="12" spans="1:7" ht="3.75" customHeight="1" thickBot="1"/>
    <row r="13" spans="1:7" ht="32.25" thickBot="1">
      <c r="A13" s="33" t="s">
        <v>15</v>
      </c>
      <c r="B13" s="38" t="e">
        <f>'1399'!#REF!</f>
        <v>#REF!</v>
      </c>
      <c r="C13" s="34" t="s">
        <v>16</v>
      </c>
      <c r="D13" s="39" t="e">
        <f>'1399'!#REF!</f>
        <v>#REF!</v>
      </c>
      <c r="E13" s="34" t="s">
        <v>17</v>
      </c>
      <c r="F13" s="144" t="s">
        <v>28</v>
      </c>
      <c r="G13" s="145"/>
    </row>
    <row r="14" spans="1:7" ht="3.75" customHeight="1" thickBot="1"/>
    <row r="15" spans="1:7" ht="19.5">
      <c r="A15" s="6"/>
      <c r="B15" s="9" t="s">
        <v>20</v>
      </c>
      <c r="C15" s="9" t="s">
        <v>21</v>
      </c>
      <c r="D15" s="7"/>
      <c r="E15" s="10" t="s">
        <v>22</v>
      </c>
      <c r="F15" s="140"/>
      <c r="G15" s="141"/>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23"/>
  <sheetViews>
    <sheetView rightToLeft="1" view="pageBreakPreview" zoomScale="106" zoomScaleNormal="100" zoomScaleSheetLayoutView="106" workbookViewId="0">
      <selection activeCell="B10" sqref="B10:G10"/>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5" t="e">
        <f>'1399'!#REF!</f>
        <v>#REF!</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t="e">
        <f>'1399'!#REF!</f>
        <v>#REF!</v>
      </c>
      <c r="C9" s="23" t="s">
        <v>11</v>
      </c>
      <c r="D9" s="24" t="s">
        <v>30</v>
      </c>
      <c r="E9" s="148" t="e">
        <f>[2]!abh(B9)</f>
        <v>#VALUE!</v>
      </c>
      <c r="F9" s="149"/>
      <c r="G9" s="25" t="s">
        <v>11</v>
      </c>
    </row>
    <row r="10" spans="1:7" ht="77.25" customHeight="1">
      <c r="A10" s="21" t="s">
        <v>12</v>
      </c>
      <c r="B10" s="156" t="e">
        <f>'1399'!#REF!</f>
        <v>#REF!</v>
      </c>
      <c r="C10" s="156"/>
      <c r="D10" s="156"/>
      <c r="E10" s="156"/>
      <c r="F10" s="156"/>
      <c r="G10" s="157"/>
    </row>
    <row r="11" spans="1:7" ht="33" customHeight="1" thickBot="1">
      <c r="A11" s="30" t="s">
        <v>13</v>
      </c>
      <c r="B11" s="35" t="e">
        <f>'1399'!#REF!</f>
        <v>#REF!</v>
      </c>
      <c r="C11" s="31"/>
      <c r="D11" s="32" t="s">
        <v>14</v>
      </c>
      <c r="E11" s="31"/>
      <c r="F11" s="158"/>
      <c r="G11" s="153"/>
    </row>
    <row r="12" spans="1:7" ht="3.75" customHeight="1" thickBot="1"/>
    <row r="13" spans="1:7" ht="32.25" thickBot="1">
      <c r="A13" s="33" t="s">
        <v>15</v>
      </c>
      <c r="B13" s="38" t="e">
        <f>'1399'!#REF!</f>
        <v>#REF!</v>
      </c>
      <c r="C13" s="34" t="s">
        <v>16</v>
      </c>
      <c r="D13" s="39" t="e">
        <f>'1399'!#REF!</f>
        <v>#REF!</v>
      </c>
      <c r="E13" s="34" t="s">
        <v>17</v>
      </c>
      <c r="F13" s="144" t="s">
        <v>28</v>
      </c>
      <c r="G13" s="145"/>
    </row>
    <row r="14" spans="1:7" ht="3.75" customHeight="1" thickBot="1"/>
    <row r="15" spans="1:7" ht="19.5">
      <c r="A15" s="6"/>
      <c r="B15" s="9" t="s">
        <v>20</v>
      </c>
      <c r="C15" s="9" t="s">
        <v>21</v>
      </c>
      <c r="D15" s="7"/>
      <c r="E15" s="10" t="s">
        <v>22</v>
      </c>
      <c r="F15" s="140"/>
      <c r="G15" s="141"/>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rintOptions horizontalCentered="1"/>
  <pageMargins left="0.51181102362204722" right="0.51181102362204722" top="0.59055118110236227" bottom="0.59055118110236227" header="0.31496062992125984" footer="0.31496062992125984"/>
  <pageSetup paperSize="11" scale="7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23"/>
  <sheetViews>
    <sheetView rightToLeft="1" view="pageBreakPreview" zoomScale="106" zoomScaleNormal="100" zoomScaleSheetLayoutView="106" workbookViewId="0">
      <selection activeCell="B10" sqref="B10:G10"/>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5" t="e">
        <f>'1399'!#REF!</f>
        <v>#REF!</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t="e">
        <f>'1399'!#REF!</f>
        <v>#REF!</v>
      </c>
      <c r="C9" s="23" t="s">
        <v>11</v>
      </c>
      <c r="D9" s="24" t="s">
        <v>30</v>
      </c>
      <c r="E9" s="148" t="e">
        <f>[2]!abh(B9)</f>
        <v>#VALUE!</v>
      </c>
      <c r="F9" s="149"/>
      <c r="G9" s="25" t="s">
        <v>11</v>
      </c>
    </row>
    <row r="10" spans="1:7" ht="77.25" customHeight="1">
      <c r="A10" s="21" t="s">
        <v>12</v>
      </c>
      <c r="B10" s="156" t="e">
        <f>'1399'!#REF!</f>
        <v>#REF!</v>
      </c>
      <c r="C10" s="156"/>
      <c r="D10" s="156"/>
      <c r="E10" s="156"/>
      <c r="F10" s="156"/>
      <c r="G10" s="157"/>
    </row>
    <row r="11" spans="1:7" ht="33" customHeight="1" thickBot="1">
      <c r="A11" s="30" t="s">
        <v>13</v>
      </c>
      <c r="B11" s="35" t="e">
        <f>'1399'!#REF!</f>
        <v>#REF!</v>
      </c>
      <c r="C11" s="31"/>
      <c r="D11" s="32" t="s">
        <v>14</v>
      </c>
      <c r="E11" s="31"/>
      <c r="F11" s="158"/>
      <c r="G11" s="153"/>
    </row>
    <row r="12" spans="1:7" ht="3.75" customHeight="1" thickBot="1"/>
    <row r="13" spans="1:7" ht="32.25" thickBot="1">
      <c r="A13" s="33" t="s">
        <v>15</v>
      </c>
      <c r="B13" s="38" t="e">
        <f>'1399'!#REF!</f>
        <v>#REF!</v>
      </c>
      <c r="C13" s="34" t="s">
        <v>16</v>
      </c>
      <c r="D13" s="39" t="e">
        <f>'1399'!#REF!</f>
        <v>#REF!</v>
      </c>
      <c r="E13" s="34" t="s">
        <v>17</v>
      </c>
      <c r="F13" s="144" t="s">
        <v>28</v>
      </c>
      <c r="G13" s="145"/>
    </row>
    <row r="14" spans="1:7" ht="3.75" customHeight="1" thickBot="1"/>
    <row r="15" spans="1:7" ht="19.5">
      <c r="A15" s="6"/>
      <c r="B15" s="9" t="s">
        <v>20</v>
      </c>
      <c r="C15" s="9" t="s">
        <v>21</v>
      </c>
      <c r="D15" s="7"/>
      <c r="E15" s="10" t="s">
        <v>22</v>
      </c>
      <c r="F15" s="140"/>
      <c r="G15" s="141"/>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rintOptions horizontalCentered="1"/>
  <pageMargins left="0.51181102362204722" right="0.51181102362204722" top="0.59055118110236227" bottom="0.59055118110236227" header="0.31496062992125984" footer="0.31496062992125984"/>
  <pageSetup paperSize="11" scale="7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23"/>
  <sheetViews>
    <sheetView rightToLeft="1" view="pageBreakPreview" zoomScale="106" zoomScaleNormal="100" zoomScaleSheetLayoutView="106" workbookViewId="0">
      <selection activeCell="E9" sqref="E9:F9"/>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5" t="e">
        <f>'1399'!#REF!</f>
        <v>#REF!</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t="e">
        <f>'1399'!#REF!</f>
        <v>#REF!</v>
      </c>
      <c r="C9" s="23" t="s">
        <v>11</v>
      </c>
      <c r="D9" s="24" t="s">
        <v>30</v>
      </c>
      <c r="E9" s="148" t="e">
        <f>[2]!abh(B9)</f>
        <v>#VALUE!</v>
      </c>
      <c r="F9" s="149"/>
      <c r="G9" s="25" t="s">
        <v>11</v>
      </c>
    </row>
    <row r="10" spans="1:7" ht="77.25" customHeight="1">
      <c r="A10" s="21" t="s">
        <v>12</v>
      </c>
      <c r="B10" s="156" t="e">
        <f>'1399'!#REF!</f>
        <v>#REF!</v>
      </c>
      <c r="C10" s="156"/>
      <c r="D10" s="156"/>
      <c r="E10" s="156"/>
      <c r="F10" s="156"/>
      <c r="G10" s="157"/>
    </row>
    <row r="11" spans="1:7" ht="33" customHeight="1" thickBot="1">
      <c r="A11" s="30" t="s">
        <v>13</v>
      </c>
      <c r="B11" s="35" t="e">
        <f>'1399'!#REF!</f>
        <v>#REF!</v>
      </c>
      <c r="C11" s="31"/>
      <c r="D11" s="32" t="s">
        <v>14</v>
      </c>
      <c r="E11" s="31"/>
      <c r="F11" s="158"/>
      <c r="G11" s="153"/>
    </row>
    <row r="12" spans="1:7" ht="3.75" customHeight="1" thickBot="1"/>
    <row r="13" spans="1:7" ht="32.25" thickBot="1">
      <c r="A13" s="33" t="s">
        <v>15</v>
      </c>
      <c r="B13" s="38" t="e">
        <f>'1399'!#REF!</f>
        <v>#REF!</v>
      </c>
      <c r="C13" s="34" t="s">
        <v>16</v>
      </c>
      <c r="D13" s="39" t="e">
        <f>'1399'!#REF!</f>
        <v>#REF!</v>
      </c>
      <c r="E13" s="34" t="s">
        <v>17</v>
      </c>
      <c r="F13" s="144" t="s">
        <v>28</v>
      </c>
      <c r="G13" s="145"/>
    </row>
    <row r="14" spans="1:7" ht="3.75" customHeight="1" thickBot="1"/>
    <row r="15" spans="1:7" ht="19.5">
      <c r="A15" s="6"/>
      <c r="B15" s="9" t="s">
        <v>20</v>
      </c>
      <c r="C15" s="9" t="s">
        <v>21</v>
      </c>
      <c r="D15" s="7"/>
      <c r="E15" s="10" t="s">
        <v>22</v>
      </c>
      <c r="F15" s="140"/>
      <c r="G15" s="141"/>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rintOptions horizontalCentered="1"/>
  <pageMargins left="0.51181102362204722" right="0.51181102362204722" top="0.59055118110236227" bottom="0.59055118110236227" header="0.31496062992125984" footer="0.31496062992125984"/>
  <pageSetup paperSize="11"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83F97-D795-41AC-8EF0-526010D7CEC5}">
  <dimension ref="A1:J306"/>
  <sheetViews>
    <sheetView rightToLeft="1" tabSelected="1" view="pageBreakPreview" topLeftCell="A286" zoomScaleNormal="100" zoomScaleSheetLayoutView="100" workbookViewId="0">
      <selection activeCell="F297" sqref="F297"/>
    </sheetView>
  </sheetViews>
  <sheetFormatPr defaultColWidth="9.140625" defaultRowHeight="38.25" customHeight="1"/>
  <cols>
    <col min="1" max="1" width="6.85546875" style="17" bestFit="1" customWidth="1"/>
    <col min="2" max="2" width="11" style="17" bestFit="1" customWidth="1"/>
    <col min="3" max="3" width="11.140625" style="17" bestFit="1" customWidth="1"/>
    <col min="4" max="4" width="15.85546875" style="18" customWidth="1"/>
    <col min="5" max="5" width="34.85546875" style="18" customWidth="1"/>
    <col min="6" max="6" width="102.5703125" style="41" customWidth="1"/>
    <col min="7" max="7" width="21.28515625" style="40" customWidth="1"/>
    <col min="8" max="8" width="21.7109375" style="40" customWidth="1"/>
    <col min="9" max="9" width="19.42578125" style="40" customWidth="1"/>
    <col min="10" max="10" width="28.140625" style="17" customWidth="1"/>
    <col min="11" max="16384" width="9.140625" style="17"/>
  </cols>
  <sheetData>
    <row r="1" spans="1:10" ht="38.25" customHeight="1">
      <c r="A1" s="115" t="s">
        <v>7</v>
      </c>
      <c r="B1" s="116"/>
      <c r="C1" s="116"/>
      <c r="D1" s="116"/>
      <c r="E1" s="116"/>
      <c r="F1" s="116"/>
      <c r="G1" s="116"/>
      <c r="H1" s="116"/>
      <c r="I1" s="117"/>
    </row>
    <row r="2" spans="1:10" ht="38.25" customHeight="1" thickBot="1">
      <c r="A2" s="118" t="s">
        <v>28</v>
      </c>
      <c r="B2" s="119"/>
      <c r="C2" s="119"/>
      <c r="D2" s="119"/>
      <c r="E2" s="119"/>
      <c r="F2" s="119"/>
      <c r="G2" s="119"/>
      <c r="H2" s="119"/>
      <c r="I2" s="120"/>
    </row>
    <row r="3" spans="1:10" ht="38.25" customHeight="1">
      <c r="A3" s="42" t="s">
        <v>0</v>
      </c>
      <c r="B3" s="42" t="s">
        <v>1</v>
      </c>
      <c r="C3" s="42" t="s">
        <v>2</v>
      </c>
      <c r="D3" s="43" t="s">
        <v>18</v>
      </c>
      <c r="E3" s="43" t="s">
        <v>455</v>
      </c>
      <c r="F3" s="43" t="s">
        <v>19</v>
      </c>
      <c r="G3" s="44" t="s">
        <v>3</v>
      </c>
      <c r="H3" s="44" t="s">
        <v>4</v>
      </c>
      <c r="I3" s="44" t="s">
        <v>5</v>
      </c>
      <c r="J3" s="68" t="s">
        <v>493</v>
      </c>
    </row>
    <row r="4" spans="1:10" ht="38.25" customHeight="1">
      <c r="A4" s="17">
        <v>1</v>
      </c>
      <c r="B4" s="17" t="s">
        <v>319</v>
      </c>
      <c r="F4" s="41" t="s">
        <v>6</v>
      </c>
      <c r="G4" s="20">
        <v>272940089</v>
      </c>
      <c r="H4" s="20">
        <v>0</v>
      </c>
      <c r="I4" s="20">
        <f>Table14[[#This Row],[مبلغ ورود]]-Table14[[#This Row],[مبلغ خروج]]</f>
        <v>272940089</v>
      </c>
      <c r="J4" s="67"/>
    </row>
    <row r="5" spans="1:10" ht="17.25" customHeight="1">
      <c r="A5" s="17">
        <v>2</v>
      </c>
      <c r="B5" s="17" t="s">
        <v>320</v>
      </c>
      <c r="C5" s="19"/>
      <c r="D5" s="18" t="s">
        <v>26</v>
      </c>
      <c r="F5" s="41" t="s">
        <v>303</v>
      </c>
      <c r="G5" s="20"/>
      <c r="H5" s="20">
        <f>6000</f>
        <v>6000</v>
      </c>
      <c r="I5" s="20">
        <f>I4+Table14[[#This Row],[مبلغ ورود]]-Table14[[#This Row],[مبلغ خروج]]</f>
        <v>272934089</v>
      </c>
      <c r="J5" s="67"/>
    </row>
    <row r="6" spans="1:10" ht="17.25" customHeight="1">
      <c r="A6" s="17">
        <v>3</v>
      </c>
      <c r="B6" s="17" t="s">
        <v>322</v>
      </c>
      <c r="C6" s="19"/>
      <c r="D6" s="18" t="s">
        <v>26</v>
      </c>
      <c r="F6" s="41" t="s">
        <v>329</v>
      </c>
      <c r="G6" s="20"/>
      <c r="H6" s="20">
        <f>100800+7200+6000</f>
        <v>114000</v>
      </c>
      <c r="I6" s="20">
        <f>I5+Table14[[#This Row],[مبلغ ورود]]-Table14[[#This Row],[مبلغ خروج]]</f>
        <v>272820089</v>
      </c>
      <c r="J6" s="67"/>
    </row>
    <row r="7" spans="1:10" ht="18.75">
      <c r="A7" s="17">
        <v>4</v>
      </c>
      <c r="B7" s="17" t="s">
        <v>322</v>
      </c>
      <c r="C7" s="19"/>
      <c r="D7" s="18" t="s">
        <v>26</v>
      </c>
      <c r="F7" s="41" t="s">
        <v>321</v>
      </c>
      <c r="G7" s="20">
        <v>20000000000</v>
      </c>
      <c r="H7" s="20"/>
      <c r="I7" s="20">
        <f>I6+Table14[[#This Row],[مبلغ ورود]]-Table14[[#This Row],[مبلغ خروج]]</f>
        <v>20272820089</v>
      </c>
      <c r="J7" s="67"/>
    </row>
    <row r="8" spans="1:10" ht="37.5">
      <c r="A8" s="17">
        <v>5</v>
      </c>
      <c r="B8" s="17" t="s">
        <v>324</v>
      </c>
      <c r="C8" s="19" t="s">
        <v>325</v>
      </c>
      <c r="D8" s="18" t="s">
        <v>26</v>
      </c>
      <c r="F8" s="56" t="s">
        <v>323</v>
      </c>
      <c r="G8" s="20"/>
      <c r="H8" s="20">
        <v>20000000000</v>
      </c>
      <c r="I8" s="20">
        <f>I7+Table14[[#This Row],[مبلغ ورود]]-Table14[[#This Row],[مبلغ خروج]]</f>
        <v>272820089</v>
      </c>
      <c r="J8" s="67"/>
    </row>
    <row r="9" spans="1:10" ht="18.75">
      <c r="A9" s="17">
        <v>6</v>
      </c>
      <c r="B9" s="17" t="s">
        <v>331</v>
      </c>
      <c r="C9" s="19"/>
      <c r="F9" s="41" t="s">
        <v>332</v>
      </c>
      <c r="G9" s="20"/>
      <c r="H9" s="20">
        <v>250000</v>
      </c>
      <c r="I9" s="20">
        <f>I8+Table14[[#This Row],[مبلغ ورود]]-Table14[[#This Row],[مبلغ خروج]]</f>
        <v>272570089</v>
      </c>
      <c r="J9" s="67"/>
    </row>
    <row r="10" spans="1:10" ht="37.5">
      <c r="A10" s="17">
        <v>7</v>
      </c>
      <c r="B10" s="17" t="s">
        <v>327</v>
      </c>
      <c r="C10" s="19" t="s">
        <v>328</v>
      </c>
      <c r="D10" s="18" t="s">
        <v>26</v>
      </c>
      <c r="F10" s="41" t="s">
        <v>326</v>
      </c>
      <c r="G10" s="20"/>
      <c r="H10" s="20">
        <v>159413552</v>
      </c>
      <c r="I10" s="20">
        <f>I9+Table14[[#This Row],[مبلغ ورود]]-Table14[[#This Row],[مبلغ خروج]]</f>
        <v>113156537</v>
      </c>
      <c r="J10" s="67"/>
    </row>
    <row r="11" spans="1:10" ht="18.75">
      <c r="A11" s="17">
        <v>8</v>
      </c>
      <c r="B11" s="17" t="s">
        <v>333</v>
      </c>
      <c r="C11" s="19"/>
      <c r="F11" s="41" t="s">
        <v>334</v>
      </c>
      <c r="G11" s="20"/>
      <c r="H11" s="20">
        <v>9000</v>
      </c>
      <c r="I11" s="20">
        <f>I10+Table14[[#This Row],[مبلغ ورود]]-Table14[[#This Row],[مبلغ خروج]]</f>
        <v>113147537</v>
      </c>
      <c r="J11" s="67"/>
    </row>
    <row r="12" spans="1:10" ht="18.75">
      <c r="A12" s="17">
        <v>9</v>
      </c>
      <c r="B12" s="17" t="s">
        <v>330</v>
      </c>
      <c r="C12" s="19"/>
      <c r="D12" s="18" t="s">
        <v>26</v>
      </c>
      <c r="F12" s="41" t="s">
        <v>345</v>
      </c>
      <c r="G12" s="20"/>
      <c r="H12" s="20">
        <v>12000</v>
      </c>
      <c r="I12" s="20">
        <f>I11+Table14[[#This Row],[مبلغ ورود]]-Table14[[#This Row],[مبلغ خروج]]</f>
        <v>113135537</v>
      </c>
      <c r="J12" s="67"/>
    </row>
    <row r="13" spans="1:10" ht="18.75">
      <c r="A13" s="17">
        <v>10</v>
      </c>
      <c r="B13" s="17" t="s">
        <v>335</v>
      </c>
      <c r="C13" s="19"/>
      <c r="D13" s="18" t="s">
        <v>26</v>
      </c>
      <c r="F13" s="41" t="s">
        <v>375</v>
      </c>
      <c r="G13" s="20"/>
      <c r="H13" s="20">
        <f>12000+12000</f>
        <v>24000</v>
      </c>
      <c r="I13" s="20">
        <f>I12+Table14[[#This Row],[مبلغ ورود]]-Table14[[#This Row],[مبلغ خروج]]</f>
        <v>113111537</v>
      </c>
      <c r="J13" s="67"/>
    </row>
    <row r="14" spans="1:10" ht="18.75">
      <c r="A14" s="17">
        <v>11</v>
      </c>
      <c r="B14" s="17" t="s">
        <v>335</v>
      </c>
      <c r="C14" s="19" t="s">
        <v>337</v>
      </c>
      <c r="D14" s="55"/>
      <c r="E14" s="55"/>
      <c r="F14" s="41" t="s">
        <v>336</v>
      </c>
      <c r="G14" s="20">
        <v>175000000000</v>
      </c>
      <c r="H14" s="20"/>
      <c r="I14" s="20">
        <f>I13+Table14[[#This Row],[مبلغ ورود]]-Table14[[#This Row],[مبلغ خروج]]</f>
        <v>175113111537</v>
      </c>
      <c r="J14" s="67"/>
    </row>
    <row r="15" spans="1:10" ht="37.5">
      <c r="A15" s="17">
        <v>12</v>
      </c>
      <c r="B15" s="17" t="s">
        <v>335</v>
      </c>
      <c r="C15" s="19" t="s">
        <v>338</v>
      </c>
      <c r="D15" s="18" t="s">
        <v>26</v>
      </c>
      <c r="F15" s="41" t="s">
        <v>340</v>
      </c>
      <c r="G15" s="20"/>
      <c r="H15" s="20">
        <v>145577471040</v>
      </c>
      <c r="I15" s="20">
        <f>I14+Table14[[#This Row],[مبلغ ورود]]-Table14[[#This Row],[مبلغ خروج]]</f>
        <v>29535640497</v>
      </c>
      <c r="J15" s="67"/>
    </row>
    <row r="16" spans="1:10" ht="37.5">
      <c r="A16" s="17">
        <v>13</v>
      </c>
      <c r="B16" s="17" t="s">
        <v>335</v>
      </c>
      <c r="C16" s="19" t="s">
        <v>339</v>
      </c>
      <c r="D16" s="18" t="s">
        <v>26</v>
      </c>
      <c r="F16" s="41" t="s">
        <v>341</v>
      </c>
      <c r="G16" s="20"/>
      <c r="H16" s="20">
        <v>2096740000</v>
      </c>
      <c r="I16" s="20">
        <f>I15+Table14[[#This Row],[مبلغ ورود]]-Table14[[#This Row],[مبلغ خروج]]</f>
        <v>27438900497</v>
      </c>
      <c r="J16" s="67"/>
    </row>
    <row r="17" spans="1:10" ht="18.75">
      <c r="A17" s="17">
        <v>14</v>
      </c>
      <c r="B17" s="17" t="s">
        <v>343</v>
      </c>
      <c r="C17" s="19" t="s">
        <v>342</v>
      </c>
      <c r="D17" s="18" t="s">
        <v>26</v>
      </c>
      <c r="F17" s="41" t="s">
        <v>344</v>
      </c>
      <c r="G17" s="20"/>
      <c r="H17" s="20">
        <v>15000000000</v>
      </c>
      <c r="I17" s="20">
        <f>I16+Table14[[#This Row],[مبلغ ورود]]-Table14[[#This Row],[مبلغ خروج]]</f>
        <v>12438900497</v>
      </c>
      <c r="J17" s="67"/>
    </row>
    <row r="18" spans="1:10" ht="56.25">
      <c r="A18" s="17">
        <v>15</v>
      </c>
      <c r="B18" s="17" t="s">
        <v>347</v>
      </c>
      <c r="C18" s="19" t="s">
        <v>346</v>
      </c>
      <c r="D18" s="18" t="s">
        <v>26</v>
      </c>
      <c r="F18" s="41" t="s">
        <v>348</v>
      </c>
      <c r="G18" s="20"/>
      <c r="H18" s="20">
        <v>10852054890</v>
      </c>
      <c r="I18" s="20">
        <f>I17+Table14[[#This Row],[مبلغ ورود]]-Table14[[#This Row],[مبلغ خروج]]</f>
        <v>1586845607</v>
      </c>
      <c r="J18" s="67"/>
    </row>
    <row r="19" spans="1:10" ht="45.75" customHeight="1">
      <c r="A19" s="17">
        <v>16</v>
      </c>
      <c r="B19" s="17" t="s">
        <v>347</v>
      </c>
      <c r="C19" s="19"/>
      <c r="D19" s="18" t="s">
        <v>26</v>
      </c>
      <c r="F19" s="41" t="s">
        <v>355</v>
      </c>
      <c r="G19" s="20">
        <v>50000000000</v>
      </c>
      <c r="H19" s="20"/>
      <c r="I19" s="20">
        <f>I18+Table14[[#This Row],[مبلغ ورود]]-Table14[[#This Row],[مبلغ خروج]]</f>
        <v>51586845607</v>
      </c>
      <c r="J19" s="67"/>
    </row>
    <row r="20" spans="1:10" ht="37.5">
      <c r="A20" s="17">
        <v>17</v>
      </c>
      <c r="B20" s="17" t="s">
        <v>347</v>
      </c>
      <c r="C20" s="19" t="s">
        <v>349</v>
      </c>
      <c r="D20" s="18" t="s">
        <v>26</v>
      </c>
      <c r="F20" s="41" t="s">
        <v>350</v>
      </c>
      <c r="G20" s="20"/>
      <c r="H20" s="20">
        <v>4958020000</v>
      </c>
      <c r="I20" s="20">
        <f>I19+Table14[[#This Row],[مبلغ ورود]]-Table14[[#This Row],[مبلغ خروج]]</f>
        <v>46628825607</v>
      </c>
      <c r="J20" s="67"/>
    </row>
    <row r="21" spans="1:10" ht="37.5">
      <c r="A21" s="17">
        <v>18</v>
      </c>
      <c r="B21" s="17" t="s">
        <v>347</v>
      </c>
      <c r="C21" s="19" t="s">
        <v>352</v>
      </c>
      <c r="D21" s="18" t="s">
        <v>26</v>
      </c>
      <c r="F21" s="41" t="s">
        <v>351</v>
      </c>
      <c r="G21" s="20"/>
      <c r="H21" s="20">
        <v>71797757</v>
      </c>
      <c r="I21" s="20">
        <f>I20+Table14[[#This Row],[مبلغ ورود]]-Table14[[#This Row],[مبلغ خروج]]</f>
        <v>46557027850</v>
      </c>
      <c r="J21" s="67"/>
    </row>
    <row r="22" spans="1:10" ht="37.5">
      <c r="A22" s="17">
        <v>19</v>
      </c>
      <c r="B22" s="17" t="s">
        <v>347</v>
      </c>
      <c r="C22" s="19" t="s">
        <v>354</v>
      </c>
      <c r="D22" s="18" t="s">
        <v>26</v>
      </c>
      <c r="F22" s="41" t="s">
        <v>353</v>
      </c>
      <c r="G22" s="20"/>
      <c r="H22" s="20">
        <v>30000000000</v>
      </c>
      <c r="I22" s="20">
        <f>I21+Table14[[#This Row],[مبلغ ورود]]-Table14[[#This Row],[مبلغ خروج]]</f>
        <v>16557027850</v>
      </c>
      <c r="J22" s="67"/>
    </row>
    <row r="23" spans="1:10" ht="18.75">
      <c r="A23" s="17">
        <v>20</v>
      </c>
      <c r="B23" s="17" t="s">
        <v>376</v>
      </c>
      <c r="C23" s="19"/>
      <c r="F23" s="41" t="s">
        <v>377</v>
      </c>
      <c r="G23" s="20"/>
      <c r="H23" s="20">
        <v>7170</v>
      </c>
      <c r="I23" s="20">
        <f>I22+Table14[[#This Row],[مبلغ ورود]]-Table14[[#This Row],[مبلغ خروج]]</f>
        <v>16557020680</v>
      </c>
      <c r="J23" s="67"/>
    </row>
    <row r="24" spans="1:10" ht="37.5">
      <c r="A24" s="17">
        <v>21</v>
      </c>
      <c r="B24" s="17" t="s">
        <v>357</v>
      </c>
      <c r="C24" s="58" t="s">
        <v>358</v>
      </c>
      <c r="D24" s="18" t="s">
        <v>26</v>
      </c>
      <c r="F24" s="41" t="s">
        <v>356</v>
      </c>
      <c r="G24" s="20"/>
      <c r="H24" s="20">
        <v>423859470</v>
      </c>
      <c r="I24" s="20">
        <f>I23+Table14[[#This Row],[مبلغ ورود]]-Table14[[#This Row],[مبلغ خروج]]</f>
        <v>16133161210</v>
      </c>
      <c r="J24" s="67"/>
    </row>
    <row r="25" spans="1:10" ht="56.25">
      <c r="A25" s="17">
        <v>22</v>
      </c>
      <c r="B25" s="17" t="s">
        <v>357</v>
      </c>
      <c r="C25" s="19" t="s">
        <v>359</v>
      </c>
      <c r="D25" s="18" t="s">
        <v>26</v>
      </c>
      <c r="F25" s="41" t="s">
        <v>360</v>
      </c>
      <c r="G25" s="20"/>
      <c r="H25" s="20">
        <v>2279068790</v>
      </c>
      <c r="I25" s="20">
        <f>I24+Table14[[#This Row],[مبلغ ورود]]-Table14[[#This Row],[مبلغ خروج]]</f>
        <v>13854092420</v>
      </c>
      <c r="J25" s="67"/>
    </row>
    <row r="26" spans="1:10" ht="37.5">
      <c r="A26" s="17">
        <v>23</v>
      </c>
      <c r="B26" s="17" t="s">
        <v>357</v>
      </c>
      <c r="C26" s="19" t="s">
        <v>361</v>
      </c>
      <c r="D26" s="18" t="s">
        <v>26</v>
      </c>
      <c r="F26" s="41" t="s">
        <v>362</v>
      </c>
      <c r="G26" s="20"/>
      <c r="H26" s="20">
        <v>135724400</v>
      </c>
      <c r="I26" s="20">
        <f>I25+Table14[[#This Row],[مبلغ ورود]]-Table14[[#This Row],[مبلغ خروج]]</f>
        <v>13718368020</v>
      </c>
      <c r="J26" s="67"/>
    </row>
    <row r="27" spans="1:10" ht="37.5">
      <c r="A27" s="17">
        <v>24</v>
      </c>
      <c r="B27" s="17" t="s">
        <v>357</v>
      </c>
      <c r="C27" s="19" t="s">
        <v>363</v>
      </c>
      <c r="D27" s="18" t="s">
        <v>26</v>
      </c>
      <c r="F27" s="41" t="s">
        <v>365</v>
      </c>
      <c r="G27" s="20"/>
      <c r="H27" s="20">
        <v>167931518</v>
      </c>
      <c r="I27" s="20">
        <f>I26+Table14[[#This Row],[مبلغ ورود]]-Table14[[#This Row],[مبلغ خروج]]</f>
        <v>13550436502</v>
      </c>
      <c r="J27" s="67"/>
    </row>
    <row r="28" spans="1:10" ht="18.75">
      <c r="A28" s="17">
        <v>25</v>
      </c>
      <c r="B28" s="17" t="s">
        <v>357</v>
      </c>
      <c r="C28" s="19"/>
      <c r="F28" s="41" t="s">
        <v>332</v>
      </c>
      <c r="G28" s="20"/>
      <c r="H28" s="20">
        <v>250000</v>
      </c>
      <c r="I28" s="20">
        <f>I27+Table14[[#This Row],[مبلغ ورود]]-Table14[[#This Row],[مبلغ خروج]]</f>
        <v>13550186502</v>
      </c>
      <c r="J28" s="67"/>
    </row>
    <row r="29" spans="1:10" ht="56.25">
      <c r="A29" s="17">
        <v>26</v>
      </c>
      <c r="B29" s="17" t="s">
        <v>357</v>
      </c>
      <c r="C29" s="19" t="s">
        <v>364</v>
      </c>
      <c r="D29" s="18" t="s">
        <v>26</v>
      </c>
      <c r="F29" s="41" t="s">
        <v>366</v>
      </c>
      <c r="G29" s="20"/>
      <c r="H29" s="20">
        <v>87096744</v>
      </c>
      <c r="I29" s="20">
        <f>I28+Table14[[#This Row],[مبلغ ورود]]-Table14[[#This Row],[مبلغ خروج]]</f>
        <v>13463089758</v>
      </c>
      <c r="J29" s="67"/>
    </row>
    <row r="30" spans="1:10" ht="18.75">
      <c r="A30" s="17">
        <v>27</v>
      </c>
      <c r="B30" s="17" t="s">
        <v>378</v>
      </c>
      <c r="C30" s="19"/>
      <c r="F30" s="41" t="s">
        <v>332</v>
      </c>
      <c r="G30" s="20"/>
      <c r="H30" s="20">
        <f>25000+13570+16790+250000</f>
        <v>305360</v>
      </c>
      <c r="I30" s="20">
        <f>I29+Table14[[#This Row],[مبلغ ورود]]-Table14[[#This Row],[مبلغ خروج]]</f>
        <v>13462784398</v>
      </c>
      <c r="J30" s="67"/>
    </row>
    <row r="31" spans="1:10" ht="37.5">
      <c r="A31" s="17">
        <v>28</v>
      </c>
      <c r="B31" s="17" t="s">
        <v>368</v>
      </c>
      <c r="C31" s="19" t="s">
        <v>367</v>
      </c>
      <c r="D31" s="18" t="s">
        <v>26</v>
      </c>
      <c r="F31" s="41" t="s">
        <v>369</v>
      </c>
      <c r="G31" s="20"/>
      <c r="H31" s="20">
        <v>99628000</v>
      </c>
      <c r="I31" s="20">
        <f>I30+Table14[[#This Row],[مبلغ ورود]]-Table14[[#This Row],[مبلغ خروج]]</f>
        <v>13363156398</v>
      </c>
      <c r="J31" s="67"/>
    </row>
    <row r="32" spans="1:10" ht="37.5">
      <c r="A32" s="17">
        <v>29</v>
      </c>
      <c r="B32" s="17" t="s">
        <v>368</v>
      </c>
      <c r="C32" s="19"/>
      <c r="D32" s="18" t="s">
        <v>26</v>
      </c>
      <c r="F32" s="41" t="s">
        <v>355</v>
      </c>
      <c r="G32" s="20">
        <v>100000000000</v>
      </c>
      <c r="H32" s="20"/>
      <c r="I32" s="20">
        <f>I31+Table14[[#This Row],[مبلغ ورود]]-Table14[[#This Row],[مبلغ خروج]]</f>
        <v>113363156398</v>
      </c>
      <c r="J32" s="67"/>
    </row>
    <row r="33" spans="1:10" ht="37.5">
      <c r="A33" s="17">
        <v>30</v>
      </c>
      <c r="B33" s="17" t="s">
        <v>368</v>
      </c>
      <c r="C33" s="19" t="s">
        <v>370</v>
      </c>
      <c r="D33" s="18" t="s">
        <v>26</v>
      </c>
      <c r="F33" s="41" t="s">
        <v>353</v>
      </c>
      <c r="G33" s="20"/>
      <c r="H33" s="20">
        <v>50000000000</v>
      </c>
      <c r="I33" s="20">
        <f>I32+Table14[[#This Row],[مبلغ ورود]]-Table14[[#This Row],[مبلغ خروج]]</f>
        <v>63363156398</v>
      </c>
      <c r="J33" s="67"/>
    </row>
    <row r="34" spans="1:10" ht="18.75">
      <c r="A34" s="17">
        <v>31</v>
      </c>
      <c r="B34" s="17" t="s">
        <v>368</v>
      </c>
      <c r="C34" s="19" t="s">
        <v>371</v>
      </c>
      <c r="D34" s="18" t="s">
        <v>26</v>
      </c>
      <c r="F34" s="41" t="s">
        <v>383</v>
      </c>
      <c r="G34" s="20"/>
      <c r="H34" s="20"/>
      <c r="I34" s="20">
        <f>I33+Table14[[#This Row],[مبلغ ورود]]-Table14[[#This Row],[مبلغ خروج]]</f>
        <v>63363156398</v>
      </c>
      <c r="J34" s="67"/>
    </row>
    <row r="35" spans="1:10" ht="56.25">
      <c r="A35" s="17">
        <v>32</v>
      </c>
      <c r="B35" s="17" t="s">
        <v>368</v>
      </c>
      <c r="C35" s="19" t="s">
        <v>373</v>
      </c>
      <c r="D35" s="18" t="s">
        <v>26</v>
      </c>
      <c r="F35" s="41" t="s">
        <v>372</v>
      </c>
      <c r="G35" s="20"/>
      <c r="H35" s="20">
        <v>342664566</v>
      </c>
      <c r="I35" s="20">
        <f>I34+Table14[[#This Row],[مبلغ ورود]]-Table14[[#This Row],[مبلغ خروج]]</f>
        <v>63020491832</v>
      </c>
      <c r="J35" s="67"/>
    </row>
    <row r="36" spans="1:10" ht="18.75">
      <c r="A36" s="17">
        <v>33</v>
      </c>
      <c r="B36" s="17" t="s">
        <v>368</v>
      </c>
      <c r="C36" s="19" t="s">
        <v>374</v>
      </c>
      <c r="D36" s="18" t="s">
        <v>26</v>
      </c>
      <c r="F36" s="41" t="s">
        <v>383</v>
      </c>
      <c r="G36" s="20"/>
      <c r="H36" s="20">
        <v>0</v>
      </c>
      <c r="I36" s="20">
        <f>I35+Table14[[#This Row],[مبلغ ورود]]-Table14[[#This Row],[مبلغ خروج]]</f>
        <v>63020491832</v>
      </c>
      <c r="J36" s="67"/>
    </row>
    <row r="37" spans="1:10" ht="27">
      <c r="A37" s="17">
        <v>34</v>
      </c>
      <c r="B37" s="17" t="s">
        <v>368</v>
      </c>
      <c r="C37" s="19"/>
      <c r="D37" s="18" t="s">
        <v>26</v>
      </c>
      <c r="F37" s="41" t="s">
        <v>381</v>
      </c>
      <c r="G37" s="20">
        <v>25000</v>
      </c>
      <c r="H37" s="20"/>
      <c r="I37" s="20">
        <f>I36+Table14[[#This Row],[مبلغ ورود]]-Table14[[#This Row],[مبلغ خروج]]</f>
        <v>63020516832</v>
      </c>
      <c r="J37" s="67"/>
    </row>
    <row r="38" spans="1:10" ht="18.75">
      <c r="A38" s="17">
        <v>35</v>
      </c>
      <c r="B38" s="17" t="s">
        <v>368</v>
      </c>
      <c r="C38" s="19"/>
      <c r="D38" s="18" t="s">
        <v>26</v>
      </c>
      <c r="F38" s="41" t="s">
        <v>377</v>
      </c>
      <c r="G38" s="20"/>
      <c r="H38" s="20">
        <v>25000</v>
      </c>
      <c r="I38" s="20">
        <f>I37+Table14[[#This Row],[مبلغ ورود]]-Table14[[#This Row],[مبلغ خروج]]</f>
        <v>63020491832</v>
      </c>
      <c r="J38" s="67"/>
    </row>
    <row r="39" spans="1:10" ht="18.75">
      <c r="B39" s="17" t="s">
        <v>368</v>
      </c>
      <c r="C39" s="19"/>
      <c r="F39" s="41" t="s">
        <v>303</v>
      </c>
      <c r="G39" s="20"/>
      <c r="H39" s="20">
        <v>18000</v>
      </c>
      <c r="I39" s="20">
        <f>I38+Table14[[#This Row],[مبلغ ورود]]-Table14[[#This Row],[مبلغ خروج]]</f>
        <v>63020473832</v>
      </c>
      <c r="J39" s="67"/>
    </row>
    <row r="40" spans="1:10" ht="39.75">
      <c r="A40" s="17">
        <v>36</v>
      </c>
      <c r="B40" s="17" t="s">
        <v>368</v>
      </c>
      <c r="C40" s="19"/>
      <c r="D40" s="18" t="s">
        <v>26</v>
      </c>
      <c r="F40" s="41" t="s">
        <v>379</v>
      </c>
      <c r="G40" s="20">
        <v>423859470</v>
      </c>
      <c r="H40" s="20"/>
      <c r="I40" s="20">
        <f>I39+Table14[[#This Row],[مبلغ ورود]]-Table14[[#This Row],[مبلغ خروج]]</f>
        <v>63444333302</v>
      </c>
      <c r="J40" s="67"/>
    </row>
    <row r="41" spans="1:10" ht="39.75">
      <c r="A41" s="17">
        <v>37</v>
      </c>
      <c r="B41" s="17" t="s">
        <v>368</v>
      </c>
      <c r="C41" s="58" t="s">
        <v>358</v>
      </c>
      <c r="D41" s="18" t="s">
        <v>26</v>
      </c>
      <c r="F41" s="41" t="s">
        <v>380</v>
      </c>
      <c r="G41" s="20"/>
      <c r="H41" s="20">
        <v>423859470</v>
      </c>
      <c r="I41" s="20">
        <f>I40+Table14[[#This Row],[مبلغ ورود]]-Table14[[#This Row],[مبلغ خروج]]</f>
        <v>63020473832</v>
      </c>
      <c r="J41" s="67"/>
    </row>
    <row r="42" spans="1:10" ht="21">
      <c r="B42" s="17" t="s">
        <v>382</v>
      </c>
      <c r="C42" s="58"/>
      <c r="F42" s="41" t="s">
        <v>377</v>
      </c>
      <c r="G42" s="20"/>
      <c r="H42" s="20">
        <v>300</v>
      </c>
      <c r="I42" s="20">
        <f>I41+Table14[[#This Row],[مبلغ ورود]]-Table14[[#This Row],[مبلغ خروج]]</f>
        <v>63020473532</v>
      </c>
      <c r="J42" s="67"/>
    </row>
    <row r="43" spans="1:10" ht="37.5">
      <c r="A43" s="17">
        <v>38</v>
      </c>
      <c r="B43" s="17" t="s">
        <v>382</v>
      </c>
      <c r="C43" s="19" t="s">
        <v>385</v>
      </c>
      <c r="D43" s="18" t="s">
        <v>26</v>
      </c>
      <c r="F43" s="41" t="s">
        <v>387</v>
      </c>
      <c r="G43" s="20"/>
      <c r="H43" s="20">
        <v>7980831332</v>
      </c>
      <c r="I43" s="20">
        <f>I42+Table14[[#This Row],[مبلغ ورود]]-Table14[[#This Row],[مبلغ خروج]]</f>
        <v>55039642200</v>
      </c>
      <c r="J43" s="67"/>
    </row>
    <row r="44" spans="1:10" ht="37.5">
      <c r="A44" s="17">
        <v>39</v>
      </c>
      <c r="B44" s="17" t="s">
        <v>382</v>
      </c>
      <c r="C44" s="19" t="s">
        <v>386</v>
      </c>
      <c r="D44" s="18" t="s">
        <v>26</v>
      </c>
      <c r="F44" s="41" t="s">
        <v>384</v>
      </c>
      <c r="G44" s="20"/>
      <c r="H44" s="20">
        <v>6224263500</v>
      </c>
      <c r="I44" s="20">
        <f>I43+Table14[[#This Row],[مبلغ ورود]]-Table14[[#This Row],[مبلغ خروج]]</f>
        <v>48815378700</v>
      </c>
      <c r="J44" s="67"/>
    </row>
    <row r="45" spans="1:10" ht="37.5">
      <c r="A45" s="17">
        <v>40</v>
      </c>
      <c r="B45" s="17" t="s">
        <v>382</v>
      </c>
      <c r="C45" s="19" t="s">
        <v>388</v>
      </c>
      <c r="D45" s="18" t="s">
        <v>26</v>
      </c>
      <c r="F45" s="41" t="s">
        <v>389</v>
      </c>
      <c r="G45" s="20"/>
      <c r="H45" s="20">
        <v>17397477500</v>
      </c>
      <c r="I45" s="20">
        <f>I44+Table14[[#This Row],[مبلغ ورود]]-Table14[[#This Row],[مبلغ خروج]]</f>
        <v>31417901200</v>
      </c>
      <c r="J45" s="67"/>
    </row>
    <row r="46" spans="1:10" ht="56.25">
      <c r="A46" s="17">
        <v>41</v>
      </c>
      <c r="B46" s="17" t="s">
        <v>382</v>
      </c>
      <c r="C46" s="19" t="s">
        <v>391</v>
      </c>
      <c r="D46" s="18" t="s">
        <v>26</v>
      </c>
      <c r="F46" s="41" t="s">
        <v>390</v>
      </c>
      <c r="G46" s="20"/>
      <c r="H46" s="20">
        <v>63883000</v>
      </c>
      <c r="I46" s="20">
        <f>I45+Table14[[#This Row],[مبلغ ورود]]-Table14[[#This Row],[مبلغ خروج]]</f>
        <v>31354018200</v>
      </c>
      <c r="J46" s="67"/>
    </row>
    <row r="47" spans="1:10" ht="37.5">
      <c r="A47" s="17">
        <v>42</v>
      </c>
      <c r="B47" s="17" t="s">
        <v>382</v>
      </c>
      <c r="C47" s="19" t="s">
        <v>392</v>
      </c>
      <c r="D47" s="18" t="s">
        <v>26</v>
      </c>
      <c r="F47" s="41" t="s">
        <v>393</v>
      </c>
      <c r="G47" s="20"/>
      <c r="H47" s="20">
        <v>170585000</v>
      </c>
      <c r="I47" s="20">
        <f>I46+Table14[[#This Row],[مبلغ ورود]]-Table14[[#This Row],[مبلغ خروج]]</f>
        <v>31183433200</v>
      </c>
      <c r="J47" s="67"/>
    </row>
    <row r="48" spans="1:10" ht="56.25">
      <c r="A48" s="17">
        <v>43</v>
      </c>
      <c r="B48" s="17" t="s">
        <v>382</v>
      </c>
      <c r="C48" s="19" t="s">
        <v>394</v>
      </c>
      <c r="D48" s="18" t="s">
        <v>26</v>
      </c>
      <c r="F48" s="41" t="s">
        <v>395</v>
      </c>
      <c r="G48" s="20"/>
      <c r="H48" s="20">
        <v>2775000000</v>
      </c>
      <c r="I48" s="20">
        <f>I47+Table14[[#This Row],[مبلغ ورود]]-Table14[[#This Row],[مبلغ خروج]]</f>
        <v>28408433200</v>
      </c>
      <c r="J48" s="67"/>
    </row>
    <row r="49" spans="1:10" ht="37.5">
      <c r="A49" s="17">
        <v>44</v>
      </c>
      <c r="B49" s="17" t="s">
        <v>382</v>
      </c>
      <c r="C49" s="19" t="s">
        <v>397</v>
      </c>
      <c r="D49" s="18" t="s">
        <v>26</v>
      </c>
      <c r="F49" s="41" t="s">
        <v>396</v>
      </c>
      <c r="G49" s="20"/>
      <c r="H49" s="20">
        <v>5000000000</v>
      </c>
      <c r="I49" s="20">
        <f>I48+Table14[[#This Row],[مبلغ ورود]]-Table14[[#This Row],[مبلغ خروج]]</f>
        <v>23408433200</v>
      </c>
      <c r="J49" s="67"/>
    </row>
    <row r="50" spans="1:10" ht="18.75">
      <c r="A50" s="17">
        <v>45</v>
      </c>
      <c r="B50" s="17" t="s">
        <v>399</v>
      </c>
      <c r="C50" s="19"/>
      <c r="F50" s="41" t="s">
        <v>412</v>
      </c>
      <c r="G50" s="20"/>
      <c r="H50" s="20">
        <f>8700+250000+250000+6380+250000</f>
        <v>765080</v>
      </c>
      <c r="I50" s="20">
        <f>I49+Table14[[#This Row],[مبلغ ورود]]-Table14[[#This Row],[مبلغ خروج]]</f>
        <v>23407668120</v>
      </c>
      <c r="J50" s="67"/>
    </row>
    <row r="51" spans="1:10" ht="37.5">
      <c r="A51" s="17">
        <v>46</v>
      </c>
      <c r="B51" s="17" t="s">
        <v>399</v>
      </c>
      <c r="C51" s="19" t="s">
        <v>398</v>
      </c>
      <c r="D51" s="18" t="s">
        <v>26</v>
      </c>
      <c r="F51" s="41" t="s">
        <v>353</v>
      </c>
      <c r="G51" s="20"/>
      <c r="H51" s="20">
        <v>3000000000</v>
      </c>
      <c r="I51" s="20">
        <f>I50+Table14[[#This Row],[مبلغ ورود]]-Table14[[#This Row],[مبلغ خروج]]</f>
        <v>20407668120</v>
      </c>
      <c r="J51" s="67"/>
    </row>
    <row r="52" spans="1:10" ht="37.5">
      <c r="A52" s="17">
        <v>47</v>
      </c>
      <c r="B52" s="17" t="s">
        <v>399</v>
      </c>
      <c r="C52" s="19" t="s">
        <v>400</v>
      </c>
      <c r="D52" s="18" t="s">
        <v>26</v>
      </c>
      <c r="F52" s="41" t="s">
        <v>404</v>
      </c>
      <c r="G52" s="20"/>
      <c r="H52" s="20">
        <v>1702735000</v>
      </c>
      <c r="I52" s="20">
        <f>I51+Table14[[#This Row],[مبلغ ورود]]-Table14[[#This Row],[مبلغ خروج]]</f>
        <v>18704933120</v>
      </c>
      <c r="J52" s="67"/>
    </row>
    <row r="53" spans="1:10" ht="37.5">
      <c r="A53" s="17">
        <v>48</v>
      </c>
      <c r="B53" s="17" t="s">
        <v>399</v>
      </c>
      <c r="C53" s="19" t="s">
        <v>401</v>
      </c>
      <c r="D53" s="18" t="s">
        <v>26</v>
      </c>
      <c r="F53" s="41" t="s">
        <v>405</v>
      </c>
      <c r="G53" s="20"/>
      <c r="H53" s="20">
        <v>5047716011</v>
      </c>
      <c r="I53" s="20">
        <f>I52+Table14[[#This Row],[مبلغ ورود]]-Table14[[#This Row],[مبلغ خروج]]</f>
        <v>13657217109</v>
      </c>
      <c r="J53" s="67"/>
    </row>
    <row r="54" spans="1:10" ht="37.5">
      <c r="A54" s="17">
        <v>49</v>
      </c>
      <c r="B54" s="17" t="s">
        <v>399</v>
      </c>
      <c r="C54" s="19" t="s">
        <v>402</v>
      </c>
      <c r="D54" s="18" t="s">
        <v>26</v>
      </c>
      <c r="F54" s="41" t="s">
        <v>403</v>
      </c>
      <c r="G54" s="20"/>
      <c r="H54" s="20">
        <v>241094577</v>
      </c>
      <c r="I54" s="20">
        <f>I53+Table14[[#This Row],[مبلغ ورود]]-Table14[[#This Row],[مبلغ خروج]]</f>
        <v>13416122532</v>
      </c>
      <c r="J54" s="67"/>
    </row>
    <row r="55" spans="1:10" ht="56.25">
      <c r="A55" s="17">
        <v>50</v>
      </c>
      <c r="B55" s="59" t="s">
        <v>407</v>
      </c>
      <c r="C55" s="19" t="s">
        <v>408</v>
      </c>
      <c r="D55" s="18" t="s">
        <v>26</v>
      </c>
      <c r="F55" s="41" t="s">
        <v>406</v>
      </c>
      <c r="G55" s="20"/>
      <c r="H55" s="62">
        <v>625000000</v>
      </c>
      <c r="I55" s="20">
        <f>I54+Table14[[#This Row],[مبلغ ورود]]-Table14[[#This Row],[مبلغ خروج]]</f>
        <v>12791122532</v>
      </c>
      <c r="J55" s="67"/>
    </row>
    <row r="56" spans="1:10" ht="37.5">
      <c r="A56" s="17">
        <v>51</v>
      </c>
      <c r="B56" s="59" t="s">
        <v>407</v>
      </c>
      <c r="C56" s="19" t="s">
        <v>409</v>
      </c>
      <c r="D56" s="18" t="s">
        <v>26</v>
      </c>
      <c r="F56" s="41" t="s">
        <v>410</v>
      </c>
      <c r="G56" s="20"/>
      <c r="H56" s="62">
        <v>1735770141</v>
      </c>
      <c r="I56" s="20">
        <f>I55+Table14[[#This Row],[مبلغ ورود]]-Table14[[#This Row],[مبلغ خروج]]</f>
        <v>11055352391</v>
      </c>
      <c r="J56" s="67"/>
    </row>
    <row r="57" spans="1:10" ht="37.5">
      <c r="A57" s="17">
        <v>52</v>
      </c>
      <c r="B57" s="59" t="s">
        <v>407</v>
      </c>
      <c r="C57" s="19" t="s">
        <v>411</v>
      </c>
      <c r="D57" s="18" t="s">
        <v>26</v>
      </c>
      <c r="F57" s="41" t="s">
        <v>353</v>
      </c>
      <c r="G57" s="20"/>
      <c r="H57" s="62">
        <v>5000000000</v>
      </c>
      <c r="I57" s="20">
        <f>I56+Table14[[#This Row],[مبلغ ورود]]-Table14[[#This Row],[مبلغ خروج]]</f>
        <v>6055352391</v>
      </c>
      <c r="J57" s="67"/>
    </row>
    <row r="58" spans="1:10" ht="21">
      <c r="A58" s="17">
        <v>53</v>
      </c>
      <c r="B58" s="60" t="s">
        <v>407</v>
      </c>
      <c r="C58" s="19"/>
      <c r="D58" s="18" t="s">
        <v>26</v>
      </c>
      <c r="F58" s="41" t="s">
        <v>332</v>
      </c>
      <c r="G58" s="20"/>
      <c r="H58" s="62">
        <v>250000</v>
      </c>
      <c r="I58" s="20">
        <f>I57+Table14[[#This Row],[مبلغ ورود]]-Table14[[#This Row],[مبلغ خروج]]</f>
        <v>6055102391</v>
      </c>
      <c r="J58" s="67"/>
    </row>
    <row r="59" spans="1:10" ht="21">
      <c r="A59" s="17">
        <v>54</v>
      </c>
      <c r="B59" s="60" t="s">
        <v>413</v>
      </c>
      <c r="C59" s="19"/>
      <c r="D59" s="18" t="s">
        <v>26</v>
      </c>
      <c r="F59" s="41" t="s">
        <v>332</v>
      </c>
      <c r="G59" s="20"/>
      <c r="H59" s="62">
        <f>125000+24000</f>
        <v>149000</v>
      </c>
      <c r="I59" s="20">
        <f>I58+Table14[[#This Row],[مبلغ ورود]]-Table14[[#This Row],[مبلغ خروج]]</f>
        <v>6054953391</v>
      </c>
      <c r="J59" s="67"/>
    </row>
    <row r="60" spans="1:10" ht="37.5">
      <c r="A60" s="17">
        <v>55</v>
      </c>
      <c r="B60" s="60" t="s">
        <v>416</v>
      </c>
      <c r="C60" s="19" t="s">
        <v>415</v>
      </c>
      <c r="D60" s="18" t="s">
        <v>26</v>
      </c>
      <c r="F60" s="41" t="s">
        <v>414</v>
      </c>
      <c r="G60" s="20"/>
      <c r="H60" s="62">
        <v>856000000</v>
      </c>
      <c r="I60" s="20">
        <f>I59+Table14[[#This Row],[مبلغ ورود]]-Table14[[#This Row],[مبلغ خروج]]</f>
        <v>5198953391</v>
      </c>
      <c r="J60" s="67"/>
    </row>
    <row r="61" spans="1:10" ht="21">
      <c r="A61" s="17">
        <v>56</v>
      </c>
      <c r="B61" s="60" t="s">
        <v>416</v>
      </c>
      <c r="C61" s="19" t="s">
        <v>417</v>
      </c>
      <c r="D61" s="18" t="s">
        <v>26</v>
      </c>
      <c r="F61" s="41" t="s">
        <v>383</v>
      </c>
      <c r="G61" s="20"/>
      <c r="H61" s="20">
        <v>0</v>
      </c>
      <c r="I61" s="20">
        <f>I60+Table14[[#This Row],[مبلغ ورود]]-Table14[[#This Row],[مبلغ خروج]]</f>
        <v>5198953391</v>
      </c>
      <c r="J61" s="67"/>
    </row>
    <row r="62" spans="1:10" ht="56.25">
      <c r="A62" s="17">
        <v>57</v>
      </c>
      <c r="B62" s="60" t="s">
        <v>416</v>
      </c>
      <c r="C62" s="19" t="s">
        <v>418</v>
      </c>
      <c r="D62" s="18" t="s">
        <v>26</v>
      </c>
      <c r="F62" s="41" t="s">
        <v>419</v>
      </c>
      <c r="G62" s="20"/>
      <c r="H62" s="62">
        <v>224203740</v>
      </c>
      <c r="I62" s="20">
        <f>I61+Table14[[#This Row],[مبلغ ورود]]-Table14[[#This Row],[مبلغ خروج]]</f>
        <v>4974749651</v>
      </c>
      <c r="J62" s="67"/>
    </row>
    <row r="63" spans="1:10" ht="37.5">
      <c r="A63" s="17">
        <v>58</v>
      </c>
      <c r="B63" s="60" t="s">
        <v>416</v>
      </c>
      <c r="C63" s="19" t="s">
        <v>420</v>
      </c>
      <c r="D63" s="18" t="s">
        <v>26</v>
      </c>
      <c r="F63" s="41" t="s">
        <v>421</v>
      </c>
      <c r="G63" s="20"/>
      <c r="H63" s="62">
        <v>49503985</v>
      </c>
      <c r="I63" s="20">
        <f>I62+Table14[[#This Row],[مبلغ ورود]]-Table14[[#This Row],[مبلغ خروج]]</f>
        <v>4925245666</v>
      </c>
      <c r="J63" s="67"/>
    </row>
    <row r="64" spans="1:10" ht="21">
      <c r="A64" s="17">
        <v>59</v>
      </c>
      <c r="B64" s="60" t="s">
        <v>416</v>
      </c>
      <c r="C64" s="19"/>
      <c r="F64" s="41" t="s">
        <v>377</v>
      </c>
      <c r="G64" s="20"/>
      <c r="H64" s="62">
        <v>4950</v>
      </c>
      <c r="I64" s="20">
        <f>I63+Table14[[#This Row],[مبلغ ورود]]-Table14[[#This Row],[مبلغ خروج]]</f>
        <v>4925240716</v>
      </c>
      <c r="J64" s="67"/>
    </row>
    <row r="65" spans="1:10" ht="37.5">
      <c r="A65" s="17">
        <v>60</v>
      </c>
      <c r="B65" s="60" t="s">
        <v>426</v>
      </c>
      <c r="C65" s="19"/>
      <c r="D65" s="63" t="s">
        <v>26</v>
      </c>
      <c r="E65" s="63"/>
      <c r="F65" s="41" t="s">
        <v>355</v>
      </c>
      <c r="G65" s="20">
        <v>30000000000</v>
      </c>
      <c r="H65" s="62"/>
      <c r="I65" s="20">
        <f>I64+Table14[[#This Row],[مبلغ ورود]]-Table14[[#This Row],[مبلغ خروج]]</f>
        <v>34925240716</v>
      </c>
      <c r="J65" s="67"/>
    </row>
    <row r="66" spans="1:10" ht="37.5">
      <c r="A66" s="17">
        <v>61</v>
      </c>
      <c r="B66" s="60" t="s">
        <v>426</v>
      </c>
      <c r="C66" s="19" t="s">
        <v>423</v>
      </c>
      <c r="D66" s="18" t="s">
        <v>26</v>
      </c>
      <c r="F66" s="41" t="s">
        <v>422</v>
      </c>
      <c r="G66" s="20"/>
      <c r="H66" s="62">
        <v>3849866600</v>
      </c>
      <c r="I66" s="20">
        <f>I65+Table14[[#This Row],[مبلغ ورود]]-Table14[[#This Row],[مبلغ خروج]]</f>
        <v>31075374116</v>
      </c>
      <c r="J66" s="67"/>
    </row>
    <row r="67" spans="1:10" ht="37.5">
      <c r="A67" s="17">
        <v>62</v>
      </c>
      <c r="B67" s="60" t="s">
        <v>426</v>
      </c>
      <c r="C67" s="19" t="s">
        <v>424</v>
      </c>
      <c r="D67" s="18" t="s">
        <v>26</v>
      </c>
      <c r="F67" s="41" t="s">
        <v>427</v>
      </c>
      <c r="G67" s="20"/>
      <c r="H67" s="62">
        <v>112161000</v>
      </c>
      <c r="I67" s="20">
        <f>I66+Table14[[#This Row],[مبلغ ورود]]-Table14[[#This Row],[مبلغ خروج]]</f>
        <v>30963213116</v>
      </c>
      <c r="J67" s="67"/>
    </row>
    <row r="68" spans="1:10" ht="37.5">
      <c r="A68" s="17">
        <v>63</v>
      </c>
      <c r="B68" s="60" t="s">
        <v>426</v>
      </c>
      <c r="C68" s="19" t="s">
        <v>425</v>
      </c>
      <c r="D68" s="18" t="s">
        <v>26</v>
      </c>
      <c r="F68" s="41" t="s">
        <v>428</v>
      </c>
      <c r="G68" s="20"/>
      <c r="H68" s="62">
        <v>280784000</v>
      </c>
      <c r="I68" s="20">
        <f>I67+Table14[[#This Row],[مبلغ ورود]]-Table14[[#This Row],[مبلغ خروج]]</f>
        <v>30682429116</v>
      </c>
      <c r="J68" s="67"/>
    </row>
    <row r="69" spans="1:10" ht="37.5">
      <c r="A69" s="17">
        <v>64</v>
      </c>
      <c r="B69" s="60" t="s">
        <v>426</v>
      </c>
      <c r="C69" s="19" t="s">
        <v>429</v>
      </c>
      <c r="D69" s="18" t="s">
        <v>26</v>
      </c>
      <c r="F69" s="41" t="s">
        <v>430</v>
      </c>
      <c r="G69" s="20"/>
      <c r="H69" s="62">
        <v>10000000000</v>
      </c>
      <c r="I69" s="20">
        <f>I68+Table14[[#This Row],[مبلغ ورود]]-Table14[[#This Row],[مبلغ خروج]]</f>
        <v>20682429116</v>
      </c>
      <c r="J69" s="67"/>
    </row>
    <row r="70" spans="1:10" ht="21">
      <c r="A70" s="17">
        <v>65</v>
      </c>
      <c r="B70" s="60" t="s">
        <v>426</v>
      </c>
      <c r="C70" s="19" t="s">
        <v>431</v>
      </c>
      <c r="D70" s="18" t="s">
        <v>26</v>
      </c>
      <c r="F70" s="41" t="s">
        <v>504</v>
      </c>
      <c r="G70" s="20"/>
      <c r="H70" s="62">
        <v>0</v>
      </c>
      <c r="I70" s="20">
        <f>I69+Table14[[#This Row],[مبلغ ورود]]-Table14[[#This Row],[مبلغ خروج]]</f>
        <v>20682429116</v>
      </c>
      <c r="J70" s="69"/>
    </row>
    <row r="71" spans="1:10" ht="21">
      <c r="A71" s="17">
        <v>66</v>
      </c>
      <c r="B71" s="60" t="s">
        <v>426</v>
      </c>
      <c r="C71" s="19"/>
      <c r="D71" s="18" t="s">
        <v>26</v>
      </c>
      <c r="F71" s="41" t="s">
        <v>377</v>
      </c>
      <c r="G71" s="20"/>
      <c r="H71" s="62">
        <v>22420</v>
      </c>
      <c r="I71" s="20">
        <f>I70+Table14[[#This Row],[مبلغ ورود]]-Table14[[#This Row],[مبلغ خروج]]</f>
        <v>20682406696</v>
      </c>
      <c r="J71" s="67"/>
    </row>
    <row r="72" spans="1:10" ht="21">
      <c r="A72" s="17">
        <v>67</v>
      </c>
      <c r="B72" s="60" t="s">
        <v>433</v>
      </c>
      <c r="C72" s="19"/>
      <c r="D72" s="18" t="s">
        <v>26</v>
      </c>
      <c r="F72" s="41" t="s">
        <v>463</v>
      </c>
      <c r="G72" s="20"/>
      <c r="H72" s="62">
        <v>12000</v>
      </c>
      <c r="I72" s="20">
        <f>I71+Table14[[#This Row],[مبلغ ورود]]-Table14[[#This Row],[مبلغ خروج]]</f>
        <v>20682394696</v>
      </c>
      <c r="J72" s="67"/>
    </row>
    <row r="73" spans="1:10" ht="37.5">
      <c r="A73" s="17">
        <v>68</v>
      </c>
      <c r="B73" s="60" t="s">
        <v>433</v>
      </c>
      <c r="C73" s="19" t="s">
        <v>432</v>
      </c>
      <c r="D73" s="18" t="s">
        <v>26</v>
      </c>
      <c r="F73" s="41" t="s">
        <v>434</v>
      </c>
      <c r="G73" s="20"/>
      <c r="H73" s="62">
        <v>2000000000</v>
      </c>
      <c r="I73" s="20">
        <f>I72+Table14[[#This Row],[مبلغ ورود]]-Table14[[#This Row],[مبلغ خروج]]</f>
        <v>18682394696</v>
      </c>
      <c r="J73" s="67"/>
    </row>
    <row r="74" spans="1:10" ht="37.5">
      <c r="A74" s="17">
        <v>69</v>
      </c>
      <c r="B74" s="60" t="s">
        <v>433</v>
      </c>
      <c r="C74" s="19"/>
      <c r="D74" s="18" t="s">
        <v>26</v>
      </c>
      <c r="F74" s="41" t="s">
        <v>355</v>
      </c>
      <c r="G74" s="20">
        <v>100000000000</v>
      </c>
      <c r="H74" s="62"/>
      <c r="I74" s="20">
        <f>I73+Table14[[#This Row],[مبلغ ورود]]-Table14[[#This Row],[مبلغ خروج]]</f>
        <v>118682394696</v>
      </c>
      <c r="J74" s="67"/>
    </row>
    <row r="75" spans="1:10" ht="37.5">
      <c r="A75" s="17">
        <v>70</v>
      </c>
      <c r="B75" s="60" t="s">
        <v>433</v>
      </c>
      <c r="C75" s="19" t="s">
        <v>435</v>
      </c>
      <c r="D75" s="18" t="s">
        <v>26</v>
      </c>
      <c r="F75" s="41" t="s">
        <v>439</v>
      </c>
      <c r="G75" s="20"/>
      <c r="H75" s="62">
        <v>198084150</v>
      </c>
      <c r="I75" s="20">
        <f>I74+Table14[[#This Row],[مبلغ ورود]]-Table14[[#This Row],[مبلغ خروج]]</f>
        <v>118484310546</v>
      </c>
      <c r="J75" s="67"/>
    </row>
    <row r="76" spans="1:10" ht="37.5">
      <c r="A76" s="17">
        <v>71</v>
      </c>
      <c r="B76" s="60" t="s">
        <v>433</v>
      </c>
      <c r="C76" s="19" t="s">
        <v>436</v>
      </c>
      <c r="D76" s="18" t="s">
        <v>26</v>
      </c>
      <c r="F76" s="41" t="s">
        <v>440</v>
      </c>
      <c r="G76" s="20"/>
      <c r="H76" s="62">
        <v>143226000</v>
      </c>
      <c r="I76" s="20">
        <f>I75+Table14[[#This Row],[مبلغ ورود]]-Table14[[#This Row],[مبلغ خروج]]</f>
        <v>118341084546</v>
      </c>
      <c r="J76" s="67"/>
    </row>
    <row r="77" spans="1:10" ht="37.5">
      <c r="A77" s="17">
        <v>72</v>
      </c>
      <c r="B77" s="60" t="s">
        <v>433</v>
      </c>
      <c r="C77" s="19" t="s">
        <v>437</v>
      </c>
      <c r="D77" s="18" t="s">
        <v>26</v>
      </c>
      <c r="F77" s="56" t="s">
        <v>441</v>
      </c>
      <c r="G77" s="20"/>
      <c r="H77" s="62">
        <v>66076395</v>
      </c>
      <c r="I77" s="20">
        <f>I76+Table14[[#This Row],[مبلغ ورود]]-Table14[[#This Row],[مبلغ خروج]]</f>
        <v>118275008151</v>
      </c>
      <c r="J77" s="67"/>
    </row>
    <row r="78" spans="1:10" ht="37.5">
      <c r="A78" s="17">
        <v>73</v>
      </c>
      <c r="B78" s="60" t="s">
        <v>433</v>
      </c>
      <c r="C78" s="19" t="s">
        <v>438</v>
      </c>
      <c r="D78" s="18" t="s">
        <v>26</v>
      </c>
      <c r="F78" s="41" t="s">
        <v>442</v>
      </c>
      <c r="G78" s="20"/>
      <c r="H78" s="62">
        <v>122764000</v>
      </c>
      <c r="I78" s="20">
        <f>I77+Table14[[#This Row],[مبلغ ورود]]-Table14[[#This Row],[مبلغ خروج]]</f>
        <v>118152244151</v>
      </c>
      <c r="J78" s="67"/>
    </row>
    <row r="79" spans="1:10" ht="37.5">
      <c r="A79" s="17">
        <v>74</v>
      </c>
      <c r="B79" s="60" t="s">
        <v>433</v>
      </c>
      <c r="C79" s="19" t="s">
        <v>443</v>
      </c>
      <c r="D79" s="18" t="s">
        <v>26</v>
      </c>
      <c r="F79" s="41" t="s">
        <v>353</v>
      </c>
      <c r="G79" s="20"/>
      <c r="H79" s="62">
        <v>5000000000</v>
      </c>
      <c r="I79" s="20">
        <f>I78+Table14[[#This Row],[مبلغ ورود]]-Table14[[#This Row],[مبلغ خروج]]</f>
        <v>113152244151</v>
      </c>
      <c r="J79" s="67"/>
    </row>
    <row r="80" spans="1:10" ht="21">
      <c r="A80" s="17">
        <v>75</v>
      </c>
      <c r="B80" s="60" t="s">
        <v>445</v>
      </c>
      <c r="C80" s="19"/>
      <c r="F80" s="41" t="s">
        <v>457</v>
      </c>
      <c r="G80" s="20"/>
      <c r="H80" s="62">
        <f>2580000+12270+250000+19800</f>
        <v>2862070</v>
      </c>
      <c r="I80" s="20">
        <f>I79+Table14[[#This Row],[مبلغ ورود]]-Table14[[#This Row],[مبلغ خروج]]</f>
        <v>113149382081</v>
      </c>
      <c r="J80" s="67"/>
    </row>
    <row r="81" spans="1:10" ht="37.5">
      <c r="A81" s="17">
        <v>76</v>
      </c>
      <c r="B81" s="60" t="s">
        <v>445</v>
      </c>
      <c r="C81" s="19" t="s">
        <v>444</v>
      </c>
      <c r="D81" s="18" t="s">
        <v>26</v>
      </c>
      <c r="F81" s="41" t="s">
        <v>446</v>
      </c>
      <c r="G81" s="20"/>
      <c r="H81" s="62">
        <v>6881103834</v>
      </c>
      <c r="I81" s="20">
        <f>I80+Table14[[#This Row],[مبلغ ورود]]-Table14[[#This Row],[مبلغ خروج]]</f>
        <v>106268278247</v>
      </c>
      <c r="J81" s="67"/>
    </row>
    <row r="82" spans="1:10" ht="37.5">
      <c r="A82" s="17">
        <v>77</v>
      </c>
      <c r="B82" s="60" t="s">
        <v>445</v>
      </c>
      <c r="C82" s="19" t="s">
        <v>447</v>
      </c>
      <c r="D82" s="18" t="s">
        <v>26</v>
      </c>
      <c r="F82" s="41" t="s">
        <v>448</v>
      </c>
      <c r="G82" s="20"/>
      <c r="H82" s="62">
        <v>3466041187</v>
      </c>
      <c r="I82" s="20">
        <f>I81+Table14[[#This Row],[مبلغ ورود]]-Table14[[#This Row],[مبلغ خروج]]</f>
        <v>102802237060</v>
      </c>
      <c r="J82" s="67"/>
    </row>
    <row r="83" spans="1:10" ht="21">
      <c r="A83" s="17">
        <v>78</v>
      </c>
      <c r="B83" s="60" t="s">
        <v>458</v>
      </c>
      <c r="C83" s="19"/>
      <c r="F83" s="41" t="s">
        <v>332</v>
      </c>
      <c r="G83" s="20"/>
      <c r="H83" s="62">
        <f>250000+250000</f>
        <v>500000</v>
      </c>
      <c r="I83" s="20">
        <f>I82+Table14[[#This Row],[مبلغ ورود]]-Table14[[#This Row],[مبلغ خروج]]</f>
        <v>102801737060</v>
      </c>
      <c r="J83" s="67"/>
    </row>
    <row r="84" spans="1:10" ht="21">
      <c r="A84" s="17">
        <v>79</v>
      </c>
      <c r="B84" s="60" t="s">
        <v>451</v>
      </c>
      <c r="C84" s="19"/>
      <c r="F84" s="41" t="s">
        <v>377</v>
      </c>
      <c r="G84" s="20"/>
      <c r="H84" s="62">
        <f>10740</f>
        <v>10740</v>
      </c>
      <c r="I84" s="20">
        <f>I83+Table14[[#This Row],[مبلغ ورود]]-Table14[[#This Row],[مبلغ خروج]]</f>
        <v>102801726320</v>
      </c>
      <c r="J84" s="67"/>
    </row>
    <row r="85" spans="1:10" ht="37.5">
      <c r="A85" s="17">
        <v>80</v>
      </c>
      <c r="B85" s="60" t="s">
        <v>451</v>
      </c>
      <c r="C85" s="19" t="s">
        <v>450</v>
      </c>
      <c r="D85" s="18" t="s">
        <v>26</v>
      </c>
      <c r="F85" s="41" t="s">
        <v>449</v>
      </c>
      <c r="G85" s="20"/>
      <c r="H85" s="62">
        <v>107410334</v>
      </c>
      <c r="I85" s="20">
        <f>I84+Table14[[#This Row],[مبلغ ورود]]-Table14[[#This Row],[مبلغ خروج]]</f>
        <v>102694315986</v>
      </c>
      <c r="J85" s="67"/>
    </row>
    <row r="86" spans="1:10" ht="21">
      <c r="A86" s="17">
        <v>81</v>
      </c>
      <c r="B86" s="60" t="s">
        <v>459</v>
      </c>
      <c r="C86" s="19"/>
      <c r="F86" s="41" t="s">
        <v>462</v>
      </c>
      <c r="G86" s="20">
        <v>5710841082</v>
      </c>
      <c r="H86" s="62"/>
      <c r="I86" s="20">
        <f>I85+Table14[[#This Row],[مبلغ ورود]]-Table14[[#This Row],[مبلغ خروج]]</f>
        <v>108405157068</v>
      </c>
      <c r="J86" s="67"/>
    </row>
    <row r="87" spans="1:10" ht="21">
      <c r="A87" s="17">
        <v>82</v>
      </c>
      <c r="B87" s="60" t="s">
        <v>459</v>
      </c>
      <c r="C87" s="19"/>
      <c r="F87" s="41" t="s">
        <v>332</v>
      </c>
      <c r="G87" s="20"/>
      <c r="H87" s="62">
        <f>250000+30000</f>
        <v>280000</v>
      </c>
      <c r="I87" s="20">
        <f>I86+Table14[[#This Row],[مبلغ ورود]]-Table14[[#This Row],[مبلغ خروج]]</f>
        <v>108404877068</v>
      </c>
      <c r="J87" s="67"/>
    </row>
    <row r="88" spans="1:10" ht="21">
      <c r="A88" s="17">
        <v>83</v>
      </c>
      <c r="B88" s="60" t="s">
        <v>460</v>
      </c>
      <c r="C88" s="19"/>
      <c r="F88" s="41" t="s">
        <v>461</v>
      </c>
      <c r="G88" s="20"/>
      <c r="H88" s="62">
        <v>110000</v>
      </c>
      <c r="I88" s="20">
        <f>I87+Table14[[#This Row],[مبلغ ورود]]-Table14[[#This Row],[مبلغ خروج]]</f>
        <v>108404767068</v>
      </c>
      <c r="J88" s="67"/>
    </row>
    <row r="89" spans="1:10" ht="37.5">
      <c r="A89" s="17">
        <v>84</v>
      </c>
      <c r="B89" s="60" t="s">
        <v>453</v>
      </c>
      <c r="C89" s="19" t="s">
        <v>452</v>
      </c>
      <c r="D89" s="18" t="s">
        <v>26</v>
      </c>
      <c r="E89" s="64" t="s">
        <v>456</v>
      </c>
      <c r="F89" s="41" t="s">
        <v>454</v>
      </c>
      <c r="G89" s="20"/>
      <c r="H89" s="62">
        <v>10000000000</v>
      </c>
      <c r="I89" s="20">
        <f>I88+Table14[[#This Row],[مبلغ ورود]]-Table14[[#This Row],[مبلغ خروج]]</f>
        <v>98404767068</v>
      </c>
      <c r="J89" s="67"/>
    </row>
    <row r="90" spans="1:10" ht="21">
      <c r="A90" s="17">
        <v>85</v>
      </c>
      <c r="B90" s="60" t="s">
        <v>453</v>
      </c>
      <c r="C90" s="19"/>
      <c r="F90" s="41" t="s">
        <v>332</v>
      </c>
      <c r="G90" s="20"/>
      <c r="H90" s="62">
        <v>171200</v>
      </c>
      <c r="I90" s="20">
        <f>I89+Table14[[#This Row],[مبلغ ورود]]-Table14[[#This Row],[مبلغ خروج]]</f>
        <v>98404595868</v>
      </c>
      <c r="J90" s="67"/>
    </row>
    <row r="91" spans="1:10" ht="37.5">
      <c r="A91" s="17">
        <v>86</v>
      </c>
      <c r="B91" s="60" t="s">
        <v>464</v>
      </c>
      <c r="C91" s="19" t="s">
        <v>465</v>
      </c>
      <c r="D91" s="18" t="s">
        <v>26</v>
      </c>
      <c r="E91" s="64" t="s">
        <v>470</v>
      </c>
      <c r="F91" s="41" t="s">
        <v>479</v>
      </c>
      <c r="G91" s="20"/>
      <c r="H91" s="62">
        <v>21702705401</v>
      </c>
      <c r="I91" s="20">
        <f>I90+Table14[[#This Row],[مبلغ ورود]]-Table14[[#This Row],[مبلغ خروج]]</f>
        <v>76701890467</v>
      </c>
      <c r="J91" s="67"/>
    </row>
    <row r="92" spans="1:10" ht="37.5">
      <c r="A92" s="17">
        <v>87</v>
      </c>
      <c r="B92" s="60" t="s">
        <v>464</v>
      </c>
      <c r="C92" s="19" t="s">
        <v>466</v>
      </c>
      <c r="D92" s="18" t="s">
        <v>26</v>
      </c>
      <c r="E92" s="64" t="s">
        <v>472</v>
      </c>
      <c r="F92" s="41" t="s">
        <v>471</v>
      </c>
      <c r="G92" s="20"/>
      <c r="H92" s="62">
        <v>25733577500</v>
      </c>
      <c r="I92" s="20">
        <f>I91+Table14[[#This Row],[مبلغ ورود]]-Table14[[#This Row],[مبلغ خروج]]</f>
        <v>50968312967</v>
      </c>
      <c r="J92" s="67"/>
    </row>
    <row r="93" spans="1:10" ht="37.5">
      <c r="A93" s="17">
        <v>88</v>
      </c>
      <c r="B93" s="60" t="s">
        <v>464</v>
      </c>
      <c r="C93" s="19" t="s">
        <v>467</v>
      </c>
      <c r="D93" s="18" t="s">
        <v>26</v>
      </c>
      <c r="E93" s="64" t="s">
        <v>473</v>
      </c>
      <c r="F93" s="41" t="s">
        <v>474</v>
      </c>
      <c r="G93" s="20"/>
      <c r="H93" s="62">
        <v>46325000</v>
      </c>
      <c r="I93" s="20">
        <f>I92+Table14[[#This Row],[مبلغ ورود]]-Table14[[#This Row],[مبلغ خروج]]</f>
        <v>50921987967</v>
      </c>
      <c r="J93" s="67"/>
    </row>
    <row r="94" spans="1:10" ht="37.5">
      <c r="A94" s="17">
        <v>89</v>
      </c>
      <c r="B94" s="60" t="s">
        <v>464</v>
      </c>
      <c r="C94" s="19" t="s">
        <v>468</v>
      </c>
      <c r="D94" s="18" t="s">
        <v>26</v>
      </c>
      <c r="E94" s="64" t="s">
        <v>475</v>
      </c>
      <c r="F94" s="41" t="s">
        <v>476</v>
      </c>
      <c r="G94" s="20"/>
      <c r="H94" s="62">
        <v>660777208</v>
      </c>
      <c r="I94" s="20">
        <f>I93+Table14[[#This Row],[مبلغ ورود]]-Table14[[#This Row],[مبلغ خروج]]</f>
        <v>50261210759</v>
      </c>
      <c r="J94" s="67"/>
    </row>
    <row r="95" spans="1:10" ht="37.5">
      <c r="A95" s="17">
        <v>90</v>
      </c>
      <c r="B95" s="60" t="s">
        <v>464</v>
      </c>
      <c r="C95" s="19" t="s">
        <v>469</v>
      </c>
      <c r="D95" s="18" t="s">
        <v>26</v>
      </c>
      <c r="E95" s="64" t="s">
        <v>477</v>
      </c>
      <c r="F95" s="41" t="s">
        <v>478</v>
      </c>
      <c r="G95" s="20"/>
      <c r="H95" s="62">
        <v>376500900</v>
      </c>
      <c r="I95" s="20">
        <f>I94+Table14[[#This Row],[مبلغ ورود]]-Table14[[#This Row],[مبلغ خروج]]</f>
        <v>49884709859</v>
      </c>
      <c r="J95" s="67"/>
    </row>
    <row r="96" spans="1:10" ht="21">
      <c r="A96" s="17">
        <v>91</v>
      </c>
      <c r="B96" s="60" t="s">
        <v>547</v>
      </c>
      <c r="C96" s="19"/>
      <c r="E96" s="64"/>
      <c r="F96" s="41" t="s">
        <v>332</v>
      </c>
      <c r="G96" s="20"/>
      <c r="H96" s="62">
        <v>250000</v>
      </c>
      <c r="I96" s="20">
        <f>I95+Table14[[#This Row],[مبلغ ورود]]-Table14[[#This Row],[مبلغ خروج]]</f>
        <v>49884459859</v>
      </c>
      <c r="J96" s="67"/>
    </row>
    <row r="97" spans="1:10" ht="37.5">
      <c r="A97" s="17">
        <v>92</v>
      </c>
      <c r="B97" s="60" t="s">
        <v>482</v>
      </c>
      <c r="C97" s="19" t="s">
        <v>481</v>
      </c>
      <c r="D97" s="18" t="s">
        <v>26</v>
      </c>
      <c r="E97" s="64" t="s">
        <v>483</v>
      </c>
      <c r="F97" s="41" t="s">
        <v>480</v>
      </c>
      <c r="G97" s="20"/>
      <c r="H97" s="62">
        <v>66969950</v>
      </c>
      <c r="I97" s="20">
        <f>I96+Table14[[#This Row],[مبلغ ورود]]-Table14[[#This Row],[مبلغ خروج]]</f>
        <v>49817489909</v>
      </c>
      <c r="J97" s="67"/>
    </row>
    <row r="98" spans="1:10" ht="37.5">
      <c r="A98" s="17">
        <v>93</v>
      </c>
      <c r="B98" s="60" t="s">
        <v>482</v>
      </c>
      <c r="C98" s="19" t="s">
        <v>484</v>
      </c>
      <c r="D98" s="18" t="s">
        <v>26</v>
      </c>
      <c r="E98" s="64" t="s">
        <v>485</v>
      </c>
      <c r="F98" s="41" t="s">
        <v>486</v>
      </c>
      <c r="G98" s="20"/>
      <c r="H98" s="62">
        <v>446221800</v>
      </c>
      <c r="I98" s="20">
        <f>I97+Table14[[#This Row],[مبلغ ورود]]-Table14[[#This Row],[مبلغ خروج]]</f>
        <v>49371268109</v>
      </c>
      <c r="J98" s="67"/>
    </row>
    <row r="99" spans="1:10" ht="37.5">
      <c r="A99" s="17">
        <v>94</v>
      </c>
      <c r="B99" s="60" t="s">
        <v>482</v>
      </c>
      <c r="C99" s="19" t="s">
        <v>487</v>
      </c>
      <c r="D99" s="18" t="s">
        <v>26</v>
      </c>
      <c r="E99" s="64" t="s">
        <v>489</v>
      </c>
      <c r="F99" s="41" t="s">
        <v>490</v>
      </c>
      <c r="G99" s="20"/>
      <c r="H99" s="62">
        <v>6552186500</v>
      </c>
      <c r="I99" s="20">
        <f>I98+Table14[[#This Row],[مبلغ ورود]]-Table14[[#This Row],[مبلغ خروج]]</f>
        <v>42819081609</v>
      </c>
      <c r="J99" s="67"/>
    </row>
    <row r="100" spans="1:10" ht="56.25">
      <c r="A100" s="17">
        <v>95</v>
      </c>
      <c r="B100" s="60" t="s">
        <v>482</v>
      </c>
      <c r="C100" s="19" t="s">
        <v>488</v>
      </c>
      <c r="D100" s="18" t="s">
        <v>26</v>
      </c>
      <c r="E100" s="64" t="s">
        <v>491</v>
      </c>
      <c r="F100" s="41" t="s">
        <v>492</v>
      </c>
      <c r="G100" s="20"/>
      <c r="H100" s="62">
        <v>416619841</v>
      </c>
      <c r="I100" s="20">
        <f>I99+Table14[[#This Row],[مبلغ ورود]]-Table14[[#This Row],[مبلغ خروج]]</f>
        <v>42402461768</v>
      </c>
      <c r="J100" s="67"/>
    </row>
    <row r="101" spans="1:10" ht="56.25">
      <c r="A101" s="17">
        <v>96</v>
      </c>
      <c r="B101" s="60" t="s">
        <v>482</v>
      </c>
      <c r="C101" s="19" t="s">
        <v>495</v>
      </c>
      <c r="D101" s="18" t="s">
        <v>26</v>
      </c>
      <c r="E101" s="64" t="s">
        <v>494</v>
      </c>
      <c r="F101" s="56" t="s">
        <v>496</v>
      </c>
      <c r="G101" s="20"/>
      <c r="H101" s="62">
        <v>6810977643</v>
      </c>
      <c r="I101" s="20">
        <f>I100+Table14[[#This Row],[مبلغ ورود]]-Table14[[#This Row],[مبلغ خروج]]</f>
        <v>35591484125</v>
      </c>
      <c r="J101" s="67"/>
    </row>
    <row r="102" spans="1:10" ht="21">
      <c r="A102" s="17">
        <v>97</v>
      </c>
      <c r="B102" s="60" t="s">
        <v>548</v>
      </c>
      <c r="C102" s="19"/>
      <c r="E102" s="64"/>
      <c r="F102" s="41" t="s">
        <v>332</v>
      </c>
      <c r="G102" s="20"/>
      <c r="H102" s="62">
        <f>250000+6690</f>
        <v>256690</v>
      </c>
      <c r="I102" s="20">
        <f>I101+Table14[[#This Row],[مبلغ ورود]]-Table14[[#This Row],[مبلغ خروج]]</f>
        <v>35591227435</v>
      </c>
      <c r="J102" s="67"/>
    </row>
    <row r="103" spans="1:10" ht="37.5">
      <c r="A103" s="17">
        <v>98</v>
      </c>
      <c r="B103" s="60" t="s">
        <v>499</v>
      </c>
      <c r="C103" s="19" t="s">
        <v>498</v>
      </c>
      <c r="D103" s="18" t="s">
        <v>26</v>
      </c>
      <c r="E103" s="64" t="s">
        <v>500</v>
      </c>
      <c r="F103" s="41" t="s">
        <v>497</v>
      </c>
      <c r="G103" s="20"/>
      <c r="H103" s="62">
        <v>241407674</v>
      </c>
      <c r="I103" s="20">
        <f>I102+Table14[[#This Row],[مبلغ ورود]]-Table14[[#This Row],[مبلغ خروج]]</f>
        <v>35349819761</v>
      </c>
      <c r="J103" s="67"/>
    </row>
    <row r="104" spans="1:10" ht="37.5">
      <c r="A104" s="17">
        <v>99</v>
      </c>
      <c r="B104" s="60" t="s">
        <v>499</v>
      </c>
      <c r="C104" s="19" t="s">
        <v>501</v>
      </c>
      <c r="D104" s="18" t="s">
        <v>26</v>
      </c>
      <c r="E104" s="64" t="s">
        <v>502</v>
      </c>
      <c r="F104" s="41" t="s">
        <v>503</v>
      </c>
      <c r="G104" s="20"/>
      <c r="H104" s="62">
        <v>1735770141</v>
      </c>
      <c r="I104" s="20">
        <f>I103+Table14[[#This Row],[مبلغ ورود]]-Table14[[#This Row],[مبلغ خروج]]</f>
        <v>33614049620</v>
      </c>
      <c r="J104" s="67"/>
    </row>
    <row r="105" spans="1:10" ht="37.5">
      <c r="A105" s="17">
        <v>100</v>
      </c>
      <c r="B105" s="60" t="s">
        <v>499</v>
      </c>
      <c r="C105" s="19" t="s">
        <v>505</v>
      </c>
      <c r="D105" s="18" t="s">
        <v>26</v>
      </c>
      <c r="E105" s="64" t="s">
        <v>506</v>
      </c>
      <c r="F105" s="41" t="s">
        <v>396</v>
      </c>
      <c r="G105" s="20"/>
      <c r="H105" s="62">
        <v>10000000000</v>
      </c>
      <c r="I105" s="20">
        <f>I104+Table14[[#This Row],[مبلغ ورود]]-Table14[[#This Row],[مبلغ خروج]]</f>
        <v>23614049620</v>
      </c>
      <c r="J105" s="67"/>
    </row>
    <row r="106" spans="1:10" ht="37.5">
      <c r="A106" s="17">
        <v>101</v>
      </c>
      <c r="B106" s="60" t="s">
        <v>499</v>
      </c>
      <c r="C106" s="19" t="s">
        <v>509</v>
      </c>
      <c r="D106" s="18" t="s">
        <v>26</v>
      </c>
      <c r="E106" s="64" t="s">
        <v>508</v>
      </c>
      <c r="F106" s="41" t="s">
        <v>507</v>
      </c>
      <c r="G106" s="20"/>
      <c r="H106" s="62">
        <v>1306555200</v>
      </c>
      <c r="I106" s="20">
        <f>I105+Table14[[#This Row],[مبلغ ورود]]-Table14[[#This Row],[مبلغ خروج]]</f>
        <v>22307494420</v>
      </c>
      <c r="J106" s="67"/>
    </row>
    <row r="107" spans="1:10" ht="37.5">
      <c r="A107" s="17">
        <v>102</v>
      </c>
      <c r="B107" s="60" t="s">
        <v>499</v>
      </c>
      <c r="C107" s="19" t="s">
        <v>510</v>
      </c>
      <c r="D107" s="18" t="s">
        <v>26</v>
      </c>
      <c r="E107" s="64" t="s">
        <v>515</v>
      </c>
      <c r="F107" s="41" t="s">
        <v>514</v>
      </c>
      <c r="G107" s="20"/>
      <c r="H107" s="62">
        <v>1963482400</v>
      </c>
      <c r="I107" s="20">
        <f>I106+Table14[[#This Row],[مبلغ ورود]]-Table14[[#This Row],[مبلغ خروج]]</f>
        <v>20344012020</v>
      </c>
      <c r="J107" s="70"/>
    </row>
    <row r="108" spans="1:10" ht="37.5">
      <c r="A108" s="17">
        <v>103</v>
      </c>
      <c r="B108" s="60" t="s">
        <v>499</v>
      </c>
      <c r="C108" s="19" t="s">
        <v>511</v>
      </c>
      <c r="D108" s="18" t="s">
        <v>26</v>
      </c>
      <c r="E108" s="64" t="s">
        <v>516</v>
      </c>
      <c r="F108" s="41" t="s">
        <v>517</v>
      </c>
      <c r="G108" s="20"/>
      <c r="H108" s="62">
        <v>99288000</v>
      </c>
      <c r="I108" s="20">
        <f>I107+Table14[[#This Row],[مبلغ ورود]]-Table14[[#This Row],[مبلغ خروج]]</f>
        <v>20244724020</v>
      </c>
      <c r="J108" s="70"/>
    </row>
    <row r="109" spans="1:10" ht="37.5">
      <c r="A109" s="17">
        <v>104</v>
      </c>
      <c r="B109" s="60" t="s">
        <v>499</v>
      </c>
      <c r="C109" s="19" t="s">
        <v>512</v>
      </c>
      <c r="D109" s="18" t="s">
        <v>26</v>
      </c>
      <c r="E109" s="64" t="s">
        <v>519</v>
      </c>
      <c r="F109" s="41" t="s">
        <v>518</v>
      </c>
      <c r="G109" s="20"/>
      <c r="H109" s="62">
        <v>3568321337</v>
      </c>
      <c r="I109" s="20">
        <f>I108+Table14[[#This Row],[مبلغ ورود]]-Table14[[#This Row],[مبلغ خروج]]</f>
        <v>16676402683</v>
      </c>
      <c r="J109" s="70"/>
    </row>
    <row r="110" spans="1:10" ht="37.5">
      <c r="A110" s="17">
        <v>105</v>
      </c>
      <c r="B110" s="60" t="s">
        <v>499</v>
      </c>
      <c r="C110" s="19" t="s">
        <v>513</v>
      </c>
      <c r="D110" s="18" t="s">
        <v>26</v>
      </c>
      <c r="E110" s="64" t="s">
        <v>521</v>
      </c>
      <c r="F110" s="41" t="s">
        <v>520</v>
      </c>
      <c r="G110" s="20"/>
      <c r="H110" s="62">
        <v>100000000</v>
      </c>
      <c r="I110" s="20">
        <f>I109+Table14[[#This Row],[مبلغ ورود]]-Table14[[#This Row],[مبلغ خروج]]</f>
        <v>16576402683</v>
      </c>
      <c r="J110" s="70"/>
    </row>
    <row r="111" spans="1:10" ht="37.5">
      <c r="A111" s="17">
        <v>106</v>
      </c>
      <c r="B111" s="60" t="s">
        <v>499</v>
      </c>
      <c r="C111" s="19" t="s">
        <v>522</v>
      </c>
      <c r="D111" s="18" t="s">
        <v>26</v>
      </c>
      <c r="E111" s="64" t="s">
        <v>523</v>
      </c>
      <c r="F111" s="41" t="s">
        <v>524</v>
      </c>
      <c r="G111" s="20"/>
      <c r="H111" s="62">
        <v>8125000000</v>
      </c>
      <c r="I111" s="20">
        <f>I110+Table14[[#This Row],[مبلغ ورود]]-Table14[[#This Row],[مبلغ خروج]]</f>
        <v>8451402683</v>
      </c>
      <c r="J111" s="70"/>
    </row>
    <row r="112" spans="1:10" ht="37.5">
      <c r="A112" s="17">
        <v>107</v>
      </c>
      <c r="B112" s="60" t="s">
        <v>499</v>
      </c>
      <c r="C112" s="19" t="s">
        <v>526</v>
      </c>
      <c r="D112" s="65" t="s">
        <v>26</v>
      </c>
      <c r="E112" s="64" t="s">
        <v>527</v>
      </c>
      <c r="F112" s="41" t="s">
        <v>525</v>
      </c>
      <c r="G112" s="20"/>
      <c r="H112" s="62">
        <v>100000000</v>
      </c>
      <c r="I112" s="20">
        <f>I111+Table14[[#This Row],[مبلغ ورود]]-Table14[[#This Row],[مبلغ خروج]]</f>
        <v>8351402683</v>
      </c>
      <c r="J112" s="67"/>
    </row>
    <row r="113" spans="1:10" ht="21">
      <c r="A113" s="17">
        <v>108</v>
      </c>
      <c r="B113" s="60" t="s">
        <v>549</v>
      </c>
      <c r="C113" s="19"/>
      <c r="D113" s="71"/>
      <c r="E113" s="64"/>
      <c r="F113" s="41" t="s">
        <v>377</v>
      </c>
      <c r="G113" s="20"/>
      <c r="H113" s="62">
        <f>9000+250000+250000+250000+10000+9920+10000+250000</f>
        <v>1038920</v>
      </c>
      <c r="I113" s="20">
        <f>I112+Table14[[#This Row],[مبلغ ورود]]-Table14[[#This Row],[مبلغ خروج]]</f>
        <v>8350363763</v>
      </c>
      <c r="J113" s="72"/>
    </row>
    <row r="114" spans="1:10" ht="37.5">
      <c r="A114" s="17">
        <v>109</v>
      </c>
      <c r="B114" s="60" t="s">
        <v>528</v>
      </c>
      <c r="C114" s="19" t="s">
        <v>529</v>
      </c>
      <c r="D114" s="65" t="s">
        <v>26</v>
      </c>
      <c r="E114" s="64" t="s">
        <v>539</v>
      </c>
      <c r="F114" s="41" t="s">
        <v>534</v>
      </c>
      <c r="G114" s="20"/>
      <c r="H114" s="62">
        <v>157713900</v>
      </c>
      <c r="I114" s="20">
        <f>I113+Table14[[#This Row],[مبلغ ورود]]-Table14[[#This Row],[مبلغ خروج]]</f>
        <v>8192649863</v>
      </c>
      <c r="J114" s="67"/>
    </row>
    <row r="115" spans="1:10" ht="37.5">
      <c r="A115" s="17">
        <v>110</v>
      </c>
      <c r="B115" s="60" t="s">
        <v>528</v>
      </c>
      <c r="C115" s="19" t="s">
        <v>530</v>
      </c>
      <c r="D115" s="65" t="s">
        <v>26</v>
      </c>
      <c r="E115" s="64" t="s">
        <v>540</v>
      </c>
      <c r="F115" s="41" t="s">
        <v>535</v>
      </c>
      <c r="G115" s="20"/>
      <c r="H115" s="62">
        <v>15000000000</v>
      </c>
      <c r="I115" s="20">
        <f>I114+Table14[[#This Row],[مبلغ ورود]]-Table14[[#This Row],[مبلغ خروج]]</f>
        <v>-6807350137</v>
      </c>
      <c r="J115" s="67"/>
    </row>
    <row r="116" spans="1:10" ht="37.5">
      <c r="A116" s="17">
        <v>111</v>
      </c>
      <c r="B116" s="60" t="s">
        <v>528</v>
      </c>
      <c r="C116" s="19" t="s">
        <v>531</v>
      </c>
      <c r="D116" s="65" t="s">
        <v>26</v>
      </c>
      <c r="E116" s="64" t="s">
        <v>541</v>
      </c>
      <c r="F116" s="41" t="s">
        <v>536</v>
      </c>
      <c r="G116" s="20"/>
      <c r="H116" s="62">
        <v>10000000000</v>
      </c>
      <c r="I116" s="20">
        <f>I115+Table14[[#This Row],[مبلغ ورود]]-Table14[[#This Row],[مبلغ خروج]]</f>
        <v>-16807350137</v>
      </c>
      <c r="J116" s="67"/>
    </row>
    <row r="117" spans="1:10" ht="37.5">
      <c r="A117" s="17">
        <v>112</v>
      </c>
      <c r="B117" s="60" t="s">
        <v>528</v>
      </c>
      <c r="C117" s="19" t="s">
        <v>532</v>
      </c>
      <c r="D117" s="65" t="s">
        <v>26</v>
      </c>
      <c r="E117" s="64" t="s">
        <v>542</v>
      </c>
      <c r="F117" s="41" t="s">
        <v>537</v>
      </c>
      <c r="G117" s="20"/>
      <c r="H117" s="62">
        <v>15000000000</v>
      </c>
      <c r="I117" s="20">
        <f>I116+Table14[[#This Row],[مبلغ ورود]]-Table14[[#This Row],[مبلغ خروج]]</f>
        <v>-31807350137</v>
      </c>
      <c r="J117" s="67"/>
    </row>
    <row r="118" spans="1:10" ht="37.5">
      <c r="A118" s="17">
        <v>113</v>
      </c>
      <c r="B118" s="60" t="s">
        <v>528</v>
      </c>
      <c r="C118" s="19" t="s">
        <v>533</v>
      </c>
      <c r="D118" s="65" t="s">
        <v>26</v>
      </c>
      <c r="E118" s="64" t="s">
        <v>543</v>
      </c>
      <c r="F118" s="41" t="s">
        <v>538</v>
      </c>
      <c r="G118" s="20"/>
      <c r="H118" s="62">
        <v>20000000000</v>
      </c>
      <c r="I118" s="20">
        <f>I117+Table14[[#This Row],[مبلغ ورود]]-Table14[[#This Row],[مبلغ خروج]]</f>
        <v>-51807350137</v>
      </c>
      <c r="J118" s="67"/>
    </row>
    <row r="119" spans="1:10" ht="37.5">
      <c r="A119" s="17">
        <v>114</v>
      </c>
      <c r="B119" s="60" t="s">
        <v>528</v>
      </c>
      <c r="C119" s="19"/>
      <c r="D119" s="65" t="s">
        <v>26</v>
      </c>
      <c r="E119" s="64"/>
      <c r="F119" s="41" t="s">
        <v>355</v>
      </c>
      <c r="G119" s="62">
        <v>60000000000</v>
      </c>
      <c r="H119" s="62"/>
      <c r="I119" s="20">
        <f>I118+Table14[[#This Row],[مبلغ ورود]]-Table14[[#This Row],[مبلغ خروج]]</f>
        <v>8192649863</v>
      </c>
      <c r="J119" s="67"/>
    </row>
    <row r="120" spans="1:10" ht="37.5">
      <c r="A120" s="17">
        <v>115</v>
      </c>
      <c r="B120" s="60" t="s">
        <v>528</v>
      </c>
      <c r="C120" s="19" t="s">
        <v>546</v>
      </c>
      <c r="D120" s="65" t="s">
        <v>26</v>
      </c>
      <c r="E120" s="64" t="s">
        <v>545</v>
      </c>
      <c r="F120" s="41" t="s">
        <v>544</v>
      </c>
      <c r="G120" s="20"/>
      <c r="H120" s="62">
        <v>39000000</v>
      </c>
      <c r="I120" s="20">
        <f>I119+Table14[[#This Row],[مبلغ ورود]]-Table14[[#This Row],[مبلغ خروج]]</f>
        <v>8153649863</v>
      </c>
      <c r="J120" s="67"/>
    </row>
    <row r="121" spans="1:10" ht="21">
      <c r="A121" s="17">
        <v>116</v>
      </c>
      <c r="B121" s="60" t="s">
        <v>528</v>
      </c>
      <c r="C121" s="19" t="s">
        <v>550</v>
      </c>
      <c r="D121" s="65" t="s">
        <v>26</v>
      </c>
      <c r="E121" s="64"/>
      <c r="F121" s="41" t="s">
        <v>504</v>
      </c>
      <c r="G121" s="20"/>
      <c r="H121" s="62">
        <v>0</v>
      </c>
      <c r="I121" s="20">
        <f>I120+Table14[[#This Row],[مبلغ ورود]]-Table14[[#This Row],[مبلغ خروج]]</f>
        <v>8153649863</v>
      </c>
      <c r="J121" s="67"/>
    </row>
    <row r="122" spans="1:10" ht="37.5">
      <c r="A122" s="17">
        <v>117</v>
      </c>
      <c r="B122" s="60" t="s">
        <v>528</v>
      </c>
      <c r="C122" s="19" t="s">
        <v>551</v>
      </c>
      <c r="D122" s="65" t="s">
        <v>26</v>
      </c>
      <c r="E122" s="64" t="s">
        <v>553</v>
      </c>
      <c r="F122" s="41" t="s">
        <v>552</v>
      </c>
      <c r="G122" s="20"/>
      <c r="H122" s="62">
        <v>94006640</v>
      </c>
      <c r="I122" s="20">
        <f>I121+Table14[[#This Row],[مبلغ ورود]]-Table14[[#This Row],[مبلغ خروج]]</f>
        <v>8059643223</v>
      </c>
      <c r="J122" s="67"/>
    </row>
    <row r="123" spans="1:10" ht="37.5">
      <c r="A123" s="17">
        <v>118</v>
      </c>
      <c r="B123" s="60" t="s">
        <v>528</v>
      </c>
      <c r="C123" s="19" t="s">
        <v>554</v>
      </c>
      <c r="D123" s="65" t="s">
        <v>26</v>
      </c>
      <c r="E123" s="64" t="s">
        <v>555</v>
      </c>
      <c r="F123" s="41" t="s">
        <v>556</v>
      </c>
      <c r="G123" s="20"/>
      <c r="H123" s="62">
        <v>2778000000</v>
      </c>
      <c r="I123" s="20">
        <f>I122+Table14[[#This Row],[مبلغ ورود]]-Table14[[#This Row],[مبلغ خروج]]</f>
        <v>5281643223</v>
      </c>
      <c r="J123" s="67"/>
    </row>
    <row r="124" spans="1:10" ht="21">
      <c r="A124" s="17">
        <v>119</v>
      </c>
      <c r="B124" s="60" t="s">
        <v>528</v>
      </c>
      <c r="C124" s="19"/>
      <c r="D124" s="65" t="s">
        <v>26</v>
      </c>
      <c r="E124" s="64"/>
      <c r="F124" s="41" t="s">
        <v>377</v>
      </c>
      <c r="G124" s="20"/>
      <c r="H124" s="62">
        <v>25000</v>
      </c>
      <c r="I124" s="20">
        <f>I123+Table14[[#This Row],[مبلغ ورود]]-Table14[[#This Row],[مبلغ خروج]]</f>
        <v>5281618223</v>
      </c>
      <c r="J124" s="67"/>
    </row>
    <row r="125" spans="1:10" ht="21">
      <c r="A125" s="17">
        <v>120</v>
      </c>
      <c r="B125" s="60" t="s">
        <v>563</v>
      </c>
      <c r="C125" s="19"/>
      <c r="D125" s="65" t="s">
        <v>26</v>
      </c>
      <c r="E125" s="64"/>
      <c r="F125" s="41" t="s">
        <v>332</v>
      </c>
      <c r="G125" s="20"/>
      <c r="H125" s="62">
        <v>152565</v>
      </c>
      <c r="I125" s="20">
        <f>I124+Table14[[#This Row],[مبلغ ورود]]-Table14[[#This Row],[مبلغ خروج]]</f>
        <v>5281465658</v>
      </c>
      <c r="J125" s="67"/>
    </row>
    <row r="126" spans="1:10" ht="37.5">
      <c r="A126" s="17">
        <v>121</v>
      </c>
      <c r="B126" s="60" t="s">
        <v>559</v>
      </c>
      <c r="C126" s="19" t="s">
        <v>558</v>
      </c>
      <c r="D126" s="65" t="s">
        <v>26</v>
      </c>
      <c r="E126" s="64" t="s">
        <v>560</v>
      </c>
      <c r="F126" s="41" t="s">
        <v>557</v>
      </c>
      <c r="G126" s="20"/>
      <c r="H126" s="62">
        <v>762825400</v>
      </c>
      <c r="I126" s="20">
        <f>I125+Table14[[#This Row],[مبلغ ورود]]-Table14[[#This Row],[مبلغ خروج]]</f>
        <v>4518640258</v>
      </c>
      <c r="J126" s="67"/>
    </row>
    <row r="127" spans="1:10" ht="21">
      <c r="A127" s="17">
        <v>122</v>
      </c>
      <c r="B127" s="60" t="s">
        <v>563</v>
      </c>
      <c r="C127" s="19"/>
      <c r="D127" s="65" t="s">
        <v>26</v>
      </c>
      <c r="E127" s="64"/>
      <c r="F127" s="41" t="s">
        <v>566</v>
      </c>
      <c r="G127" s="20">
        <v>152565</v>
      </c>
      <c r="H127" s="62"/>
      <c r="I127" s="20">
        <f>I126+Table14[[#This Row],[مبلغ ورود]]-Table14[[#This Row],[مبلغ خروج]]</f>
        <v>4518792823</v>
      </c>
      <c r="J127" s="67"/>
    </row>
    <row r="128" spans="1:10" ht="39.75">
      <c r="A128" s="17">
        <v>123</v>
      </c>
      <c r="B128" s="60" t="s">
        <v>563</v>
      </c>
      <c r="C128" s="19"/>
      <c r="D128" s="65" t="s">
        <v>26</v>
      </c>
      <c r="E128" s="64"/>
      <c r="F128" s="41" t="s">
        <v>561</v>
      </c>
      <c r="G128" s="20">
        <v>762825400</v>
      </c>
      <c r="H128" s="62"/>
      <c r="I128" s="20">
        <f>I127+Table14[[#This Row],[مبلغ ورود]]-Table14[[#This Row],[مبلغ خروج]]</f>
        <v>5281618223</v>
      </c>
      <c r="J128" s="73"/>
    </row>
    <row r="129" spans="1:10" ht="21">
      <c r="A129" s="17">
        <v>124</v>
      </c>
      <c r="B129" s="60" t="s">
        <v>563</v>
      </c>
      <c r="C129" s="19"/>
      <c r="D129" s="65" t="s">
        <v>26</v>
      </c>
      <c r="E129" s="64"/>
      <c r="F129" s="41" t="s">
        <v>332</v>
      </c>
      <c r="G129" s="20"/>
      <c r="H129" s="62">
        <v>152565</v>
      </c>
      <c r="I129" s="20">
        <f>I128+Table14[[#This Row],[مبلغ ورود]]-Table14[[#This Row],[مبلغ خروج]]</f>
        <v>5281465658</v>
      </c>
      <c r="J129" s="67"/>
    </row>
    <row r="130" spans="1:10" ht="37.5">
      <c r="A130" s="17">
        <v>125</v>
      </c>
      <c r="B130" s="60" t="s">
        <v>563</v>
      </c>
      <c r="C130" s="19" t="s">
        <v>562</v>
      </c>
      <c r="D130" s="65" t="s">
        <v>26</v>
      </c>
      <c r="E130" s="64" t="s">
        <v>564</v>
      </c>
      <c r="F130" s="41" t="s">
        <v>557</v>
      </c>
      <c r="G130" s="20"/>
      <c r="H130" s="62">
        <v>762825400</v>
      </c>
      <c r="I130" s="20">
        <f>I129+Table14[[#This Row],[مبلغ ورود]]-Table14[[#This Row],[مبلغ خروج]]</f>
        <v>4518640258</v>
      </c>
      <c r="J130" s="73"/>
    </row>
    <row r="131" spans="1:10" ht="21">
      <c r="A131" s="17">
        <v>126</v>
      </c>
      <c r="B131" s="60" t="s">
        <v>559</v>
      </c>
      <c r="C131" s="19"/>
      <c r="D131" s="65" t="s">
        <v>26</v>
      </c>
      <c r="E131" s="64"/>
      <c r="F131" s="41" t="s">
        <v>565</v>
      </c>
      <c r="G131" s="20"/>
      <c r="H131" s="62">
        <f>250000+9400+250000+250000+250000+250000</f>
        <v>1259400</v>
      </c>
      <c r="I131" s="20">
        <f>I130+Table14[[#This Row],[مبلغ ورود]]-Table14[[#This Row],[مبلغ خروج]]</f>
        <v>4517380858</v>
      </c>
      <c r="J131" s="73"/>
    </row>
    <row r="132" spans="1:10" ht="21">
      <c r="A132" s="17">
        <v>127</v>
      </c>
      <c r="B132" s="60" t="s">
        <v>590</v>
      </c>
      <c r="C132" s="19"/>
      <c r="D132" s="65" t="s">
        <v>26</v>
      </c>
      <c r="E132" s="64"/>
      <c r="F132" s="41" t="s">
        <v>565</v>
      </c>
      <c r="G132" s="20"/>
      <c r="H132" s="62">
        <f>132155+25000</f>
        <v>157155</v>
      </c>
      <c r="I132" s="20">
        <f>I131+Table14[[#This Row],[مبلغ ورود]]-Table14[[#This Row],[مبلغ خروج]]</f>
        <v>4517223703</v>
      </c>
      <c r="J132" s="67"/>
    </row>
    <row r="133" spans="1:10" ht="37.5">
      <c r="A133" s="17">
        <v>128</v>
      </c>
      <c r="B133" s="60" t="s">
        <v>589</v>
      </c>
      <c r="C133" s="19"/>
      <c r="D133" s="65" t="s">
        <v>26</v>
      </c>
      <c r="E133" s="64"/>
      <c r="F133" s="41" t="s">
        <v>355</v>
      </c>
      <c r="G133" s="20">
        <v>20000000000</v>
      </c>
      <c r="H133" s="62"/>
      <c r="I133" s="20">
        <f>I132+Table14[[#This Row],[مبلغ ورود]]-Table14[[#This Row],[مبلغ خروج]]</f>
        <v>24517223703</v>
      </c>
      <c r="J133" s="67"/>
    </row>
    <row r="134" spans="1:10" ht="21">
      <c r="A134" s="17">
        <v>129</v>
      </c>
      <c r="B134" s="60" t="s">
        <v>567</v>
      </c>
      <c r="C134" s="19"/>
      <c r="D134" s="65" t="s">
        <v>26</v>
      </c>
      <c r="E134" s="64"/>
      <c r="F134" s="41" t="s">
        <v>377</v>
      </c>
      <c r="G134" s="20"/>
      <c r="H134" s="62">
        <v>25000</v>
      </c>
      <c r="I134" s="20">
        <f>I133+Table14[[#This Row],[مبلغ ورود]]-Table14[[#This Row],[مبلغ خروج]]</f>
        <v>24517198703</v>
      </c>
      <c r="J134" s="76"/>
    </row>
    <row r="135" spans="1:10" ht="56.25">
      <c r="A135" s="17">
        <v>130</v>
      </c>
      <c r="B135" s="60" t="s">
        <v>567</v>
      </c>
      <c r="C135" s="19" t="s">
        <v>568</v>
      </c>
      <c r="D135" s="65" t="s">
        <v>26</v>
      </c>
      <c r="E135" s="64" t="s">
        <v>571</v>
      </c>
      <c r="F135" s="56" t="s">
        <v>574</v>
      </c>
      <c r="G135" s="20"/>
      <c r="H135" s="62">
        <v>681097765</v>
      </c>
      <c r="I135" s="20">
        <f>I134+Table14[[#This Row],[مبلغ ورود]]-Table14[[#This Row],[مبلغ خروج]]</f>
        <v>23836100938</v>
      </c>
      <c r="J135" s="73"/>
    </row>
    <row r="136" spans="1:10" ht="56.25">
      <c r="A136" s="17">
        <v>131</v>
      </c>
      <c r="B136" s="60" t="s">
        <v>567</v>
      </c>
      <c r="C136" s="19" t="s">
        <v>569</v>
      </c>
      <c r="D136" s="65" t="s">
        <v>26</v>
      </c>
      <c r="E136" s="64" t="s">
        <v>572</v>
      </c>
      <c r="F136" s="41" t="s">
        <v>576</v>
      </c>
      <c r="G136" s="20"/>
      <c r="H136" s="62">
        <v>399980000</v>
      </c>
      <c r="I136" s="20">
        <f>I135+Table14[[#This Row],[مبلغ ورود]]-Table14[[#This Row],[مبلغ خروج]]</f>
        <v>23436120938</v>
      </c>
      <c r="J136" s="74"/>
    </row>
    <row r="137" spans="1:10" ht="37.5">
      <c r="A137" s="17">
        <v>132</v>
      </c>
      <c r="B137" s="60" t="s">
        <v>567</v>
      </c>
      <c r="C137" s="19" t="s">
        <v>570</v>
      </c>
      <c r="D137" s="65" t="s">
        <v>26</v>
      </c>
      <c r="E137" s="64" t="s">
        <v>573</v>
      </c>
      <c r="F137" s="41" t="s">
        <v>575</v>
      </c>
      <c r="G137" s="20"/>
      <c r="H137" s="62">
        <v>45500000</v>
      </c>
      <c r="I137" s="20">
        <f>I136+Table14[[#This Row],[مبلغ ورود]]-Table14[[#This Row],[مبلغ خروج]]</f>
        <v>23390620938</v>
      </c>
      <c r="J137" s="74"/>
    </row>
    <row r="138" spans="1:10" ht="37.5">
      <c r="A138" s="17">
        <v>133</v>
      </c>
      <c r="B138" s="60" t="s">
        <v>567</v>
      </c>
      <c r="C138" s="19" t="s">
        <v>578</v>
      </c>
      <c r="D138" s="65" t="s">
        <v>26</v>
      </c>
      <c r="E138" s="64" t="s">
        <v>581</v>
      </c>
      <c r="F138" s="41" t="s">
        <v>577</v>
      </c>
      <c r="G138" s="20"/>
      <c r="H138" s="62">
        <v>2080000000</v>
      </c>
      <c r="I138" s="20">
        <f>I137+Table14[[#This Row],[مبلغ ورود]]-Table14[[#This Row],[مبلغ خروج]]</f>
        <v>21310620938</v>
      </c>
      <c r="J138" s="74"/>
    </row>
    <row r="139" spans="1:10" ht="37.5">
      <c r="A139" s="17">
        <v>134</v>
      </c>
      <c r="B139" s="60" t="s">
        <v>567</v>
      </c>
      <c r="C139" s="19" t="s">
        <v>579</v>
      </c>
      <c r="D139" s="65" t="s">
        <v>26</v>
      </c>
      <c r="E139" s="64" t="s">
        <v>583</v>
      </c>
      <c r="F139" s="56" t="s">
        <v>582</v>
      </c>
      <c r="G139" s="20"/>
      <c r="H139" s="62">
        <v>1000000000</v>
      </c>
      <c r="I139" s="20">
        <f>I138+Table14[[#This Row],[مبلغ ورود]]-Table14[[#This Row],[مبلغ خروج]]</f>
        <v>20310620938</v>
      </c>
      <c r="J139" s="74"/>
    </row>
    <row r="140" spans="1:10" ht="37.5">
      <c r="A140" s="17">
        <v>135</v>
      </c>
      <c r="B140" s="60" t="s">
        <v>567</v>
      </c>
      <c r="C140" s="19" t="s">
        <v>580</v>
      </c>
      <c r="D140" s="65" t="s">
        <v>26</v>
      </c>
      <c r="E140" s="64" t="s">
        <v>584</v>
      </c>
      <c r="F140" s="41" t="s">
        <v>585</v>
      </c>
      <c r="G140" s="20"/>
      <c r="H140" s="62">
        <v>11405166822</v>
      </c>
      <c r="I140" s="20">
        <f>I139+Table14[[#This Row],[مبلغ ورود]]-Table14[[#This Row],[مبلغ خروج]]</f>
        <v>8905454116</v>
      </c>
      <c r="J140" s="74"/>
    </row>
    <row r="141" spans="1:10" ht="37.5">
      <c r="A141" s="17">
        <v>136</v>
      </c>
      <c r="B141" s="60" t="s">
        <v>567</v>
      </c>
      <c r="C141" s="19"/>
      <c r="D141" s="65" t="s">
        <v>26</v>
      </c>
      <c r="E141" s="64"/>
      <c r="F141" s="41" t="s">
        <v>355</v>
      </c>
      <c r="G141" s="20">
        <v>30000000000</v>
      </c>
      <c r="H141" s="62"/>
      <c r="I141" s="20">
        <f>I140+Table14[[#This Row],[مبلغ ورود]]-Table14[[#This Row],[مبلغ خروج]]</f>
        <v>38905454116</v>
      </c>
      <c r="J141" s="67"/>
    </row>
    <row r="142" spans="1:10" ht="56.25">
      <c r="A142" s="17">
        <v>137</v>
      </c>
      <c r="B142" s="60" t="s">
        <v>567</v>
      </c>
      <c r="C142" s="19" t="s">
        <v>586</v>
      </c>
      <c r="D142" s="65" t="s">
        <v>26</v>
      </c>
      <c r="E142" s="64" t="s">
        <v>587</v>
      </c>
      <c r="F142" s="41" t="s">
        <v>588</v>
      </c>
      <c r="G142" s="20"/>
      <c r="H142" s="62">
        <v>41548075</v>
      </c>
      <c r="I142" s="20">
        <f>I141+Table14[[#This Row],[مبلغ ورود]]-Table14[[#This Row],[مبلغ خروج]]</f>
        <v>38863906041</v>
      </c>
      <c r="J142" s="67"/>
    </row>
    <row r="143" spans="1:10" ht="56.25">
      <c r="A143" s="17">
        <v>138</v>
      </c>
      <c r="B143" s="60" t="s">
        <v>593</v>
      </c>
      <c r="C143" s="19" t="s">
        <v>591</v>
      </c>
      <c r="D143" s="65" t="s">
        <v>26</v>
      </c>
      <c r="E143" s="64" t="s">
        <v>592</v>
      </c>
      <c r="F143" s="41" t="s">
        <v>594</v>
      </c>
      <c r="G143" s="20"/>
      <c r="H143" s="62">
        <v>7492075408</v>
      </c>
      <c r="I143" s="20">
        <f>I142+Table14[[#This Row],[مبلغ ورود]]-Table14[[#This Row],[مبلغ خروج]]</f>
        <v>31371830633</v>
      </c>
      <c r="J143" s="67"/>
    </row>
    <row r="144" spans="1:10" ht="21">
      <c r="A144" s="17">
        <v>139</v>
      </c>
      <c r="B144" s="60" t="s">
        <v>593</v>
      </c>
      <c r="C144" s="19"/>
      <c r="D144" s="75"/>
      <c r="E144" s="64"/>
      <c r="F144" s="41" t="s">
        <v>377</v>
      </c>
      <c r="G144" s="20"/>
      <c r="H144" s="62">
        <v>4150</v>
      </c>
      <c r="I144" s="20">
        <f>I143+Table14[[#This Row],[مبلغ ورود]]-Table14[[#This Row],[مبلغ خروج]]</f>
        <v>31371826483</v>
      </c>
      <c r="J144" s="76"/>
    </row>
    <row r="145" spans="1:10" ht="21">
      <c r="A145" s="17">
        <v>140</v>
      </c>
      <c r="B145" s="60" t="s">
        <v>597</v>
      </c>
      <c r="C145" s="19"/>
      <c r="D145" s="65" t="s">
        <v>26</v>
      </c>
      <c r="E145" s="64"/>
      <c r="F145" s="41" t="s">
        <v>332</v>
      </c>
      <c r="G145" s="20"/>
      <c r="H145" s="62">
        <f>250000+250000</f>
        <v>500000</v>
      </c>
      <c r="I145" s="20">
        <f>I144+Table14[[#This Row],[مبلغ ورود]]-Table14[[#This Row],[مبلغ خروج]]</f>
        <v>31371326483</v>
      </c>
      <c r="J145" s="76"/>
    </row>
    <row r="146" spans="1:10" ht="37.5">
      <c r="A146" s="17">
        <v>141</v>
      </c>
      <c r="B146" s="60" t="s">
        <v>597</v>
      </c>
      <c r="C146" s="19" t="s">
        <v>596</v>
      </c>
      <c r="D146" s="65" t="s">
        <v>26</v>
      </c>
      <c r="E146" s="64" t="s">
        <v>598</v>
      </c>
      <c r="F146" s="41" t="s">
        <v>595</v>
      </c>
      <c r="G146" s="20"/>
      <c r="H146" s="62">
        <v>76784000</v>
      </c>
      <c r="I146" s="20">
        <f>I145+Table14[[#This Row],[مبلغ ورود]]-Table14[[#This Row],[مبلغ خروج]]</f>
        <v>31294542483</v>
      </c>
      <c r="J146" s="67"/>
    </row>
    <row r="147" spans="1:10" ht="37.5">
      <c r="A147" s="17">
        <v>142</v>
      </c>
      <c r="B147" s="60" t="s">
        <v>600</v>
      </c>
      <c r="C147" s="19" t="s">
        <v>599</v>
      </c>
      <c r="D147" s="65" t="s">
        <v>26</v>
      </c>
      <c r="E147" s="64" t="s">
        <v>601</v>
      </c>
      <c r="F147" s="41" t="s">
        <v>602</v>
      </c>
      <c r="G147" s="20"/>
      <c r="H147" s="62">
        <v>15000000</v>
      </c>
      <c r="I147" s="20">
        <f>I146+Table14[[#This Row],[مبلغ ورود]]-Table14[[#This Row],[مبلغ خروج]]</f>
        <v>31279542483</v>
      </c>
      <c r="J147" s="67"/>
    </row>
    <row r="148" spans="1:10" ht="21">
      <c r="A148" s="17">
        <v>143</v>
      </c>
      <c r="B148" s="60" t="s">
        <v>600</v>
      </c>
      <c r="C148" s="19" t="s">
        <v>603</v>
      </c>
      <c r="D148" s="65" t="s">
        <v>26</v>
      </c>
      <c r="E148" s="64" t="s">
        <v>607</v>
      </c>
      <c r="F148" s="41" t="s">
        <v>611</v>
      </c>
      <c r="G148" s="20"/>
      <c r="H148" s="62">
        <v>192620000</v>
      </c>
      <c r="I148" s="20">
        <f>I147+Table14[[#This Row],[مبلغ ورود]]-Table14[[#This Row],[مبلغ خروج]]</f>
        <v>31086922483</v>
      </c>
      <c r="J148" s="67"/>
    </row>
    <row r="149" spans="1:10" ht="37.5">
      <c r="A149" s="17">
        <v>144</v>
      </c>
      <c r="B149" s="60" t="s">
        <v>600</v>
      </c>
      <c r="C149" s="19" t="s">
        <v>604</v>
      </c>
      <c r="D149" s="65" t="s">
        <v>26</v>
      </c>
      <c r="E149" s="64" t="s">
        <v>608</v>
      </c>
      <c r="F149" s="41" t="s">
        <v>612</v>
      </c>
      <c r="G149" s="20"/>
      <c r="H149" s="62">
        <v>30068536000</v>
      </c>
      <c r="I149" s="20">
        <f>I148+Table14[[#This Row],[مبلغ ورود]]-Table14[[#This Row],[مبلغ خروج]]</f>
        <v>1018386483</v>
      </c>
      <c r="J149" s="67"/>
    </row>
    <row r="150" spans="1:10" ht="37.5">
      <c r="A150" s="17">
        <v>145</v>
      </c>
      <c r="B150" s="60" t="s">
        <v>600</v>
      </c>
      <c r="C150" s="19" t="s">
        <v>605</v>
      </c>
      <c r="D150" s="65" t="s">
        <v>26</v>
      </c>
      <c r="E150" s="64" t="s">
        <v>609</v>
      </c>
      <c r="F150" s="41" t="s">
        <v>613</v>
      </c>
      <c r="G150" s="20"/>
      <c r="H150" s="62">
        <v>12700000000</v>
      </c>
      <c r="I150" s="20">
        <f>I149+Table14[[#This Row],[مبلغ ورود]]-Table14[[#This Row],[مبلغ خروج]]</f>
        <v>-11681613517</v>
      </c>
      <c r="J150" s="76"/>
    </row>
    <row r="151" spans="1:10" ht="37.5">
      <c r="A151" s="17">
        <v>146</v>
      </c>
      <c r="B151" s="60" t="s">
        <v>600</v>
      </c>
      <c r="C151" s="19" t="s">
        <v>606</v>
      </c>
      <c r="D151" s="65" t="s">
        <v>26</v>
      </c>
      <c r="E151" s="64" t="s">
        <v>610</v>
      </c>
      <c r="F151" s="41" t="s">
        <v>614</v>
      </c>
      <c r="G151" s="20"/>
      <c r="H151" s="62">
        <v>8125000000</v>
      </c>
      <c r="I151" s="20">
        <f>I150+Table14[[#This Row],[مبلغ ورود]]-Table14[[#This Row],[مبلغ خروج]]</f>
        <v>-19806613517</v>
      </c>
      <c r="J151" s="76"/>
    </row>
    <row r="152" spans="1:10" ht="37.5">
      <c r="A152" s="17">
        <v>147</v>
      </c>
      <c r="B152" s="60" t="s">
        <v>600</v>
      </c>
      <c r="C152" s="19"/>
      <c r="D152" s="65" t="s">
        <v>26</v>
      </c>
      <c r="E152" s="64"/>
      <c r="F152" s="41" t="s">
        <v>355</v>
      </c>
      <c r="G152" s="62">
        <v>50000000000</v>
      </c>
      <c r="H152" s="62"/>
      <c r="I152" s="20">
        <f>I151+Table14[[#This Row],[مبلغ ورود]]-Table14[[#This Row],[مبلغ خروج]]</f>
        <v>30193386483</v>
      </c>
      <c r="J152" s="76"/>
    </row>
    <row r="153" spans="1:10" ht="21">
      <c r="A153" s="17">
        <v>148</v>
      </c>
      <c r="B153" s="60" t="s">
        <v>600</v>
      </c>
      <c r="C153" s="19"/>
      <c r="D153" s="65" t="s">
        <v>26</v>
      </c>
      <c r="E153" s="64"/>
      <c r="F153" s="41" t="s">
        <v>377</v>
      </c>
      <c r="G153" s="20"/>
      <c r="H153" s="62">
        <f>25000+250000+7670</f>
        <v>282670</v>
      </c>
      <c r="I153" s="20">
        <f>I152+Table14[[#This Row],[مبلغ ورود]]-Table14[[#This Row],[مبلغ خروج]]</f>
        <v>30193103813</v>
      </c>
      <c r="J153" s="76"/>
    </row>
    <row r="154" spans="1:10" ht="21">
      <c r="A154" s="17">
        <v>149</v>
      </c>
      <c r="B154" s="60" t="s">
        <v>615</v>
      </c>
      <c r="C154" s="19"/>
      <c r="D154" s="65" t="s">
        <v>26</v>
      </c>
      <c r="E154" s="64"/>
      <c r="F154" s="41" t="s">
        <v>616</v>
      </c>
      <c r="G154" s="20"/>
      <c r="H154" s="62">
        <f>2000+250000</f>
        <v>252000</v>
      </c>
      <c r="I154" s="20">
        <f>I153+Table14[[#This Row],[مبلغ ورود]]-Table14[[#This Row],[مبلغ خروج]]</f>
        <v>30192851813</v>
      </c>
      <c r="J154" s="76"/>
    </row>
    <row r="155" spans="1:10" ht="21">
      <c r="B155" s="60" t="s">
        <v>640</v>
      </c>
      <c r="C155" s="19"/>
      <c r="D155" s="65" t="s">
        <v>26</v>
      </c>
      <c r="E155" s="64"/>
      <c r="F155" s="41" t="s">
        <v>641</v>
      </c>
      <c r="G155" s="20"/>
      <c r="H155" s="62">
        <f>250000+110000</f>
        <v>360000</v>
      </c>
      <c r="I155" s="20">
        <f>I154+Table14[[#This Row],[مبلغ ورود]]-Table14[[#This Row],[مبلغ خروج]]</f>
        <v>30192491813</v>
      </c>
      <c r="J155" s="67"/>
    </row>
    <row r="156" spans="1:10" ht="37.5">
      <c r="A156" s="17">
        <v>150</v>
      </c>
      <c r="B156" s="60" t="s">
        <v>617</v>
      </c>
      <c r="C156" s="19" t="s">
        <v>620</v>
      </c>
      <c r="D156" s="65" t="s">
        <v>26</v>
      </c>
      <c r="E156" s="64" t="s">
        <v>618</v>
      </c>
      <c r="F156" s="41" t="s">
        <v>619</v>
      </c>
      <c r="G156" s="20"/>
      <c r="H156" s="62">
        <v>80115000</v>
      </c>
      <c r="I156" s="20">
        <f>I155+Table14[[#This Row],[مبلغ ورود]]-Table14[[#This Row],[مبلغ خروج]]</f>
        <v>30112376813</v>
      </c>
      <c r="J156" s="76"/>
    </row>
    <row r="157" spans="1:10" ht="37.5">
      <c r="A157" s="17">
        <v>151</v>
      </c>
      <c r="B157" s="60" t="s">
        <v>617</v>
      </c>
      <c r="C157" s="19" t="s">
        <v>622</v>
      </c>
      <c r="D157" s="65" t="s">
        <v>26</v>
      </c>
      <c r="E157" s="64" t="s">
        <v>621</v>
      </c>
      <c r="F157" s="41" t="s">
        <v>623</v>
      </c>
      <c r="G157" s="20"/>
      <c r="H157" s="62">
        <v>319480000</v>
      </c>
      <c r="I157" s="20">
        <f>I156+Table14[[#This Row],[مبلغ ورود]]-Table14[[#This Row],[مبلغ خروج]]</f>
        <v>29792896813</v>
      </c>
      <c r="J157" s="76"/>
    </row>
    <row r="158" spans="1:10" ht="37.5">
      <c r="A158" s="17">
        <v>152</v>
      </c>
      <c r="B158" s="60" t="s">
        <v>624</v>
      </c>
      <c r="C158" s="19" t="s">
        <v>625</v>
      </c>
      <c r="D158" s="65" t="s">
        <v>26</v>
      </c>
      <c r="E158" s="64" t="s">
        <v>627</v>
      </c>
      <c r="F158" s="41" t="s">
        <v>629</v>
      </c>
      <c r="G158" s="20"/>
      <c r="H158" s="62">
        <v>2787669867</v>
      </c>
      <c r="I158" s="20">
        <f>I157+Table14[[#This Row],[مبلغ ورود]]-Table14[[#This Row],[مبلغ خروج]]</f>
        <v>27005226946</v>
      </c>
      <c r="J158" s="67"/>
    </row>
    <row r="159" spans="1:10" ht="37.5">
      <c r="A159" s="17">
        <v>153</v>
      </c>
      <c r="B159" s="60" t="s">
        <v>624</v>
      </c>
      <c r="C159" s="19" t="s">
        <v>626</v>
      </c>
      <c r="D159" s="65" t="s">
        <v>26</v>
      </c>
      <c r="E159" s="64" t="s">
        <v>628</v>
      </c>
      <c r="F159" s="41" t="s">
        <v>630</v>
      </c>
      <c r="G159" s="20"/>
      <c r="H159" s="62">
        <v>14036612943</v>
      </c>
      <c r="I159" s="20">
        <f>I158+Table14[[#This Row],[مبلغ ورود]]-Table14[[#This Row],[مبلغ خروج]]</f>
        <v>12968614003</v>
      </c>
      <c r="J159" s="67"/>
    </row>
    <row r="160" spans="1:10" ht="37.5">
      <c r="A160" s="17">
        <v>154</v>
      </c>
      <c r="B160" s="60" t="s">
        <v>624</v>
      </c>
      <c r="C160" s="19" t="s">
        <v>633</v>
      </c>
      <c r="D160" s="65" t="s">
        <v>26</v>
      </c>
      <c r="E160" s="64" t="s">
        <v>631</v>
      </c>
      <c r="F160" s="41" t="s">
        <v>632</v>
      </c>
      <c r="G160" s="20"/>
      <c r="H160" s="62">
        <v>97555000</v>
      </c>
      <c r="I160" s="20">
        <f>I159+Table14[[#This Row],[مبلغ ورود]]-Table14[[#This Row],[مبلغ خروج]]</f>
        <v>12871059003</v>
      </c>
      <c r="J160" s="77"/>
    </row>
    <row r="161" spans="1:10" ht="56.25">
      <c r="A161" s="17">
        <v>155</v>
      </c>
      <c r="B161" s="60" t="s">
        <v>624</v>
      </c>
      <c r="C161" s="19" t="s">
        <v>635</v>
      </c>
      <c r="D161" s="65" t="s">
        <v>26</v>
      </c>
      <c r="E161" s="64" t="s">
        <v>634</v>
      </c>
      <c r="F161" s="41" t="s">
        <v>636</v>
      </c>
      <c r="G161" s="20"/>
      <c r="H161" s="62">
        <v>65450000</v>
      </c>
      <c r="I161" s="20">
        <f>I160+Table14[[#This Row],[مبلغ ورود]]-Table14[[#This Row],[مبلغ خروج]]</f>
        <v>12805609003</v>
      </c>
      <c r="J161" s="77"/>
    </row>
    <row r="162" spans="1:10" ht="37.5">
      <c r="A162" s="17">
        <v>156</v>
      </c>
      <c r="B162" s="60" t="s">
        <v>624</v>
      </c>
      <c r="C162" s="19" t="s">
        <v>637</v>
      </c>
      <c r="D162" s="65" t="s">
        <v>26</v>
      </c>
      <c r="E162" s="64" t="s">
        <v>638</v>
      </c>
      <c r="F162" s="41" t="s">
        <v>639</v>
      </c>
      <c r="G162" s="20"/>
      <c r="H162" s="62">
        <v>2308838855</v>
      </c>
      <c r="I162" s="20">
        <f>I161+Table14[[#This Row],[مبلغ ورود]]-Table14[[#This Row],[مبلغ خروج]]</f>
        <v>10496770148</v>
      </c>
      <c r="J162" s="77"/>
    </row>
    <row r="163" spans="1:10" ht="37.5">
      <c r="A163" s="17">
        <v>157</v>
      </c>
      <c r="B163" s="60" t="s">
        <v>624</v>
      </c>
      <c r="C163" s="19" t="s">
        <v>643</v>
      </c>
      <c r="D163" s="65" t="s">
        <v>26</v>
      </c>
      <c r="E163" s="64" t="s">
        <v>642</v>
      </c>
      <c r="F163" s="41" t="s">
        <v>644</v>
      </c>
      <c r="G163" s="20"/>
      <c r="H163" s="62">
        <v>280784000</v>
      </c>
      <c r="I163" s="20">
        <f>I162+Table14[[#This Row],[مبلغ ورود]]-Table14[[#This Row],[مبلغ خروج]]</f>
        <v>10215986148</v>
      </c>
      <c r="J163" s="77"/>
    </row>
    <row r="164" spans="1:10" ht="37.5">
      <c r="A164" s="17">
        <v>158</v>
      </c>
      <c r="B164" s="60" t="s">
        <v>624</v>
      </c>
      <c r="C164" s="19" t="s">
        <v>646</v>
      </c>
      <c r="D164" s="65" t="s">
        <v>26</v>
      </c>
      <c r="E164" s="64" t="s">
        <v>648</v>
      </c>
      <c r="F164" s="41" t="s">
        <v>645</v>
      </c>
      <c r="G164" s="20"/>
      <c r="H164" s="62">
        <v>89115000</v>
      </c>
      <c r="I164" s="20">
        <f>I163+Table14[[#This Row],[مبلغ ورود]]-Table14[[#This Row],[مبلغ خروج]]</f>
        <v>10126871148</v>
      </c>
      <c r="J164" s="77"/>
    </row>
    <row r="165" spans="1:10" ht="56.25">
      <c r="A165" s="17">
        <v>159</v>
      </c>
      <c r="B165" s="60" t="s">
        <v>624</v>
      </c>
      <c r="C165" s="19" t="s">
        <v>647</v>
      </c>
      <c r="D165" s="65" t="s">
        <v>26</v>
      </c>
      <c r="E165" s="64" t="s">
        <v>650</v>
      </c>
      <c r="F165" s="41" t="s">
        <v>652</v>
      </c>
      <c r="G165" s="20"/>
      <c r="H165" s="62">
        <v>410060664</v>
      </c>
      <c r="I165" s="20">
        <f>I164+Table14[[#This Row],[مبلغ ورود]]-Table14[[#This Row],[مبلغ خروج]]</f>
        <v>9716810484</v>
      </c>
      <c r="J165" s="77"/>
    </row>
    <row r="166" spans="1:10" ht="37.5">
      <c r="A166" s="17">
        <v>160</v>
      </c>
      <c r="B166" s="60" t="s">
        <v>624</v>
      </c>
      <c r="C166" s="19" t="s">
        <v>649</v>
      </c>
      <c r="D166" s="65" t="s">
        <v>26</v>
      </c>
      <c r="E166" s="64" t="s">
        <v>651</v>
      </c>
      <c r="F166" s="41" t="s">
        <v>653</v>
      </c>
      <c r="G166" s="20"/>
      <c r="H166" s="62">
        <v>8867272946</v>
      </c>
      <c r="I166" s="20">
        <f>I165+Table14[[#This Row],[مبلغ ورود]]-Table14[[#This Row],[مبلغ خروج]]</f>
        <v>849537538</v>
      </c>
      <c r="J166" s="67"/>
    </row>
    <row r="167" spans="1:10" ht="37.5">
      <c r="A167" s="17">
        <v>161</v>
      </c>
      <c r="B167" s="60" t="s">
        <v>624</v>
      </c>
      <c r="C167" s="19" t="s">
        <v>654</v>
      </c>
      <c r="D167" s="65" t="s">
        <v>26</v>
      </c>
      <c r="E167" s="64" t="s">
        <v>656</v>
      </c>
      <c r="F167" s="41" t="s">
        <v>655</v>
      </c>
      <c r="G167" s="20"/>
      <c r="H167" s="62">
        <v>45026200</v>
      </c>
      <c r="I167" s="20">
        <f>I166+Table14[[#This Row],[مبلغ ورود]]-Table14[[#This Row],[مبلغ خروج]]</f>
        <v>804511338</v>
      </c>
      <c r="J167" s="67"/>
    </row>
    <row r="168" spans="1:10" ht="21">
      <c r="B168" s="60" t="s">
        <v>624</v>
      </c>
      <c r="C168" s="19"/>
      <c r="D168" s="65" t="s">
        <v>26</v>
      </c>
      <c r="E168" s="64"/>
      <c r="F168" s="41" t="s">
        <v>565</v>
      </c>
      <c r="G168" s="20"/>
      <c r="H168" s="62">
        <f>250000+25000</f>
        <v>275000</v>
      </c>
      <c r="I168" s="20">
        <f>I167+Table14[[#This Row],[مبلغ ورود]]-Table14[[#This Row],[مبلغ خروج]]</f>
        <v>804236338</v>
      </c>
      <c r="J168" s="67"/>
    </row>
    <row r="169" spans="1:10" ht="21">
      <c r="B169" s="60" t="s">
        <v>658</v>
      </c>
      <c r="C169" s="19"/>
      <c r="E169" s="64"/>
      <c r="F169" s="41" t="s">
        <v>377</v>
      </c>
      <c r="G169" s="20"/>
      <c r="H169" s="62">
        <f>9750+25000+4500</f>
        <v>39250</v>
      </c>
      <c r="I169" s="20">
        <f>I168+Table14[[#This Row],[مبلغ ورود]]-Table14[[#This Row],[مبلغ خروج]]</f>
        <v>804197088</v>
      </c>
      <c r="J169" s="67"/>
    </row>
    <row r="170" spans="1:10" ht="56.25">
      <c r="A170" s="17">
        <v>162</v>
      </c>
      <c r="B170" s="60" t="s">
        <v>658</v>
      </c>
      <c r="C170" s="19" t="s">
        <v>657</v>
      </c>
      <c r="D170" s="65" t="s">
        <v>26</v>
      </c>
      <c r="E170" s="64" t="s">
        <v>659</v>
      </c>
      <c r="F170" s="41" t="s">
        <v>660</v>
      </c>
      <c r="G170" s="20"/>
      <c r="H170" s="62">
        <v>217116000</v>
      </c>
      <c r="I170" s="20">
        <f>I169+Table14[[#This Row],[مبلغ ورود]]-Table14[[#This Row],[مبلغ خروج]]</f>
        <v>587081088</v>
      </c>
      <c r="J170" s="79"/>
    </row>
    <row r="171" spans="1:10" ht="58.5">
      <c r="B171" s="60" t="s">
        <v>712</v>
      </c>
      <c r="C171" s="19"/>
      <c r="D171" s="65" t="s">
        <v>26</v>
      </c>
      <c r="E171" s="64"/>
      <c r="F171" s="41" t="s">
        <v>711</v>
      </c>
      <c r="G171" s="20">
        <v>217116000</v>
      </c>
      <c r="H171" s="62"/>
      <c r="I171" s="20">
        <f>I170+Table14[[#This Row],[مبلغ ورود]]-Table14[[#This Row],[مبلغ خروج]]</f>
        <v>804197088</v>
      </c>
      <c r="J171" s="67"/>
    </row>
    <row r="172" spans="1:10" ht="21">
      <c r="B172" s="60" t="s">
        <v>712</v>
      </c>
      <c r="C172" s="19"/>
      <c r="D172" s="65" t="s">
        <v>26</v>
      </c>
      <c r="E172" s="64"/>
      <c r="F172" s="41" t="s">
        <v>713</v>
      </c>
      <c r="G172" s="20">
        <v>21710</v>
      </c>
      <c r="H172" s="62"/>
      <c r="I172" s="20">
        <f>I171+Table14[[#This Row],[مبلغ ورود]]-Table14[[#This Row],[مبلغ خروج]]</f>
        <v>804218798</v>
      </c>
      <c r="J172" s="67"/>
    </row>
    <row r="173" spans="1:10" ht="37.5">
      <c r="A173" s="17">
        <v>163</v>
      </c>
      <c r="B173" s="60" t="s">
        <v>658</v>
      </c>
      <c r="C173" s="19" t="s">
        <v>661</v>
      </c>
      <c r="D173" s="65" t="s">
        <v>26</v>
      </c>
      <c r="E173" s="64" t="s">
        <v>662</v>
      </c>
      <c r="F173" s="41" t="s">
        <v>663</v>
      </c>
      <c r="G173" s="20"/>
      <c r="H173" s="62">
        <v>2158608060</v>
      </c>
      <c r="I173" s="20">
        <f>I172+Table14[[#This Row],[مبلغ ورود]]-Table14[[#This Row],[مبلغ خروج]]</f>
        <v>-1354389262</v>
      </c>
      <c r="J173" s="79"/>
    </row>
    <row r="174" spans="1:10" ht="37.5">
      <c r="A174" s="17">
        <v>164</v>
      </c>
      <c r="B174" s="60" t="s">
        <v>658</v>
      </c>
      <c r="C174" s="19" t="s">
        <v>664</v>
      </c>
      <c r="D174" s="78" t="s">
        <v>26</v>
      </c>
      <c r="E174" s="64" t="s">
        <v>665</v>
      </c>
      <c r="F174" s="41" t="s">
        <v>666</v>
      </c>
      <c r="G174" s="20"/>
      <c r="H174" s="62">
        <v>1953304500</v>
      </c>
      <c r="I174" s="20">
        <f>I173+Table14[[#This Row],[مبلغ ورود]]-Table14[[#This Row],[مبلغ خروج]]</f>
        <v>-3307693762</v>
      </c>
      <c r="J174" s="79"/>
    </row>
    <row r="175" spans="1:10" ht="37.5">
      <c r="A175" s="17">
        <v>165</v>
      </c>
      <c r="B175" s="60" t="s">
        <v>658</v>
      </c>
      <c r="C175" s="19"/>
      <c r="D175" s="78" t="s">
        <v>26</v>
      </c>
      <c r="F175" s="41" t="s">
        <v>355</v>
      </c>
      <c r="G175" s="20">
        <v>20000000000</v>
      </c>
      <c r="H175" s="62"/>
      <c r="I175" s="20">
        <f>I174+Table14[[#This Row],[مبلغ ورود]]-Table14[[#This Row],[مبلغ خروج]]</f>
        <v>16692306238</v>
      </c>
      <c r="J175" s="79"/>
    </row>
    <row r="176" spans="1:10" ht="37.5">
      <c r="A176" s="17">
        <v>166</v>
      </c>
      <c r="B176" s="60" t="s">
        <v>668</v>
      </c>
      <c r="C176" s="19" t="s">
        <v>669</v>
      </c>
      <c r="D176" s="78" t="s">
        <v>26</v>
      </c>
      <c r="E176" s="64" t="s">
        <v>671</v>
      </c>
      <c r="F176" s="41" t="s">
        <v>667</v>
      </c>
      <c r="G176" s="20"/>
      <c r="H176" s="62">
        <v>3230003850</v>
      </c>
      <c r="I176" s="20">
        <f>I175+Table14[[#This Row],[مبلغ ورود]]-Table14[[#This Row],[مبلغ خروج]]</f>
        <v>13462302388</v>
      </c>
      <c r="J176" s="79"/>
    </row>
    <row r="177" spans="1:10" ht="37.5">
      <c r="A177" s="17">
        <v>167</v>
      </c>
      <c r="B177" s="60" t="s">
        <v>668</v>
      </c>
      <c r="C177" s="19" t="s">
        <v>670</v>
      </c>
      <c r="D177" s="78" t="s">
        <v>26</v>
      </c>
      <c r="E177" s="64" t="s">
        <v>672</v>
      </c>
      <c r="F177" s="41" t="s">
        <v>673</v>
      </c>
      <c r="G177" s="20"/>
      <c r="H177" s="62">
        <v>5230580043</v>
      </c>
      <c r="I177" s="20">
        <f>I176+Table14[[#This Row],[مبلغ ورود]]-Table14[[#This Row],[مبلغ خروج]]</f>
        <v>8231722345</v>
      </c>
      <c r="J177" s="79"/>
    </row>
    <row r="178" spans="1:10" ht="37.5">
      <c r="A178" s="17">
        <v>168</v>
      </c>
      <c r="B178" s="60" t="s">
        <v>668</v>
      </c>
      <c r="C178" s="19" t="s">
        <v>674</v>
      </c>
      <c r="D178" s="78" t="s">
        <v>26</v>
      </c>
      <c r="E178" s="64" t="s">
        <v>675</v>
      </c>
      <c r="F178" s="41" t="s">
        <v>676</v>
      </c>
      <c r="G178" s="20"/>
      <c r="H178" s="62">
        <v>158724670</v>
      </c>
      <c r="I178" s="20">
        <f>I177+Table14[[#This Row],[مبلغ ورود]]-Table14[[#This Row],[مبلغ خروج]]</f>
        <v>8072997675</v>
      </c>
      <c r="J178" s="79"/>
    </row>
    <row r="179" spans="1:10" ht="37.5">
      <c r="A179" s="17">
        <v>169</v>
      </c>
      <c r="B179" s="60" t="s">
        <v>668</v>
      </c>
      <c r="C179" s="19" t="s">
        <v>677</v>
      </c>
      <c r="D179" s="78" t="s">
        <v>26</v>
      </c>
      <c r="E179" s="64" t="s">
        <v>678</v>
      </c>
      <c r="F179" s="41" t="s">
        <v>679</v>
      </c>
      <c r="G179" s="20"/>
      <c r="H179" s="62">
        <v>180675294</v>
      </c>
      <c r="I179" s="20">
        <f>I178+Table14[[#This Row],[مبلغ ورود]]-Table14[[#This Row],[مبلغ خروج]]</f>
        <v>7892322381</v>
      </c>
      <c r="J179" s="79"/>
    </row>
    <row r="180" spans="1:10" ht="56.25">
      <c r="A180" s="17">
        <v>170</v>
      </c>
      <c r="B180" s="60" t="s">
        <v>668</v>
      </c>
      <c r="C180" s="19" t="s">
        <v>680</v>
      </c>
      <c r="D180" s="78" t="s">
        <v>26</v>
      </c>
      <c r="E180" s="64" t="s">
        <v>682</v>
      </c>
      <c r="F180" s="56" t="s">
        <v>685</v>
      </c>
      <c r="G180" s="20"/>
      <c r="H180" s="62">
        <v>191820472</v>
      </c>
      <c r="I180" s="20">
        <f>I179+Table14[[#This Row],[مبلغ ورود]]-Table14[[#This Row],[مبلغ خروج]]</f>
        <v>7700501909</v>
      </c>
      <c r="J180" s="80"/>
    </row>
    <row r="181" spans="1:10" ht="56.25">
      <c r="A181" s="17">
        <v>171</v>
      </c>
      <c r="B181" s="60" t="s">
        <v>668</v>
      </c>
      <c r="C181" s="19" t="s">
        <v>681</v>
      </c>
      <c r="D181" s="78" t="s">
        <v>26</v>
      </c>
      <c r="E181" s="64" t="s">
        <v>683</v>
      </c>
      <c r="F181" s="56" t="s">
        <v>684</v>
      </c>
      <c r="G181" s="20"/>
      <c r="H181" s="62">
        <v>120000000</v>
      </c>
      <c r="I181" s="20">
        <f>I180+Table14[[#This Row],[مبلغ ورود]]-Table14[[#This Row],[مبلغ خروج]]</f>
        <v>7580501909</v>
      </c>
      <c r="J181" s="80"/>
    </row>
    <row r="182" spans="1:10" ht="21">
      <c r="B182" s="60" t="s">
        <v>668</v>
      </c>
      <c r="C182" s="19"/>
      <c r="D182" s="78" t="s">
        <v>26</v>
      </c>
      <c r="E182" s="64"/>
      <c r="F182" s="41" t="s">
        <v>332</v>
      </c>
      <c r="G182" s="20"/>
      <c r="H182" s="62">
        <f>250000+250000+250000+250000+250000+21710</f>
        <v>1271710</v>
      </c>
      <c r="I182" s="20">
        <f>I181+Table14[[#This Row],[مبلغ ورود]]-Table14[[#This Row],[مبلغ خروج]]</f>
        <v>7579230199</v>
      </c>
      <c r="J182" s="67"/>
    </row>
    <row r="183" spans="1:10" ht="37.5">
      <c r="A183" s="17">
        <v>172</v>
      </c>
      <c r="B183" s="60" t="s">
        <v>687</v>
      </c>
      <c r="C183" s="19" t="s">
        <v>688</v>
      </c>
      <c r="D183" s="78" t="s">
        <v>26</v>
      </c>
      <c r="E183" s="64" t="s">
        <v>689</v>
      </c>
      <c r="F183" s="41" t="s">
        <v>686</v>
      </c>
      <c r="G183" s="20"/>
      <c r="H183" s="62">
        <v>225649500</v>
      </c>
      <c r="I183" s="20">
        <f>I182+Table14[[#This Row],[مبلغ ورود]]-Table14[[#This Row],[مبلغ خروج]]</f>
        <v>7353580699</v>
      </c>
      <c r="J183" s="80"/>
    </row>
    <row r="184" spans="1:10" ht="21">
      <c r="B184" s="60" t="s">
        <v>687</v>
      </c>
      <c r="C184" s="19"/>
      <c r="E184" s="64"/>
      <c r="F184" s="41" t="s">
        <v>377</v>
      </c>
      <c r="G184" s="20"/>
      <c r="H184" s="62">
        <f>300+19180+15870+12000</f>
        <v>47350</v>
      </c>
      <c r="I184" s="20">
        <f>I183+Table14[[#This Row],[مبلغ ورود]]-Table14[[#This Row],[مبلغ خروج]]</f>
        <v>7353533349</v>
      </c>
      <c r="J184" s="67"/>
    </row>
    <row r="185" spans="1:10" ht="37.5">
      <c r="A185" s="17">
        <v>173</v>
      </c>
      <c r="B185" s="60" t="s">
        <v>687</v>
      </c>
      <c r="C185" s="19" t="s">
        <v>691</v>
      </c>
      <c r="D185" s="78" t="s">
        <v>26</v>
      </c>
      <c r="E185" s="64" t="s">
        <v>692</v>
      </c>
      <c r="F185" s="41" t="s">
        <v>690</v>
      </c>
      <c r="G185" s="20"/>
      <c r="H185" s="62">
        <v>226182000</v>
      </c>
      <c r="I185" s="20">
        <f>I184+Table14[[#This Row],[مبلغ ورود]]-Table14[[#This Row],[مبلغ خروج]]</f>
        <v>7127351349</v>
      </c>
      <c r="J185" s="80"/>
    </row>
    <row r="186" spans="1:10" ht="37.5">
      <c r="A186" s="17">
        <v>174</v>
      </c>
      <c r="B186" s="60" t="s">
        <v>693</v>
      </c>
      <c r="C186" s="19" t="s">
        <v>694</v>
      </c>
      <c r="D186" s="78" t="s">
        <v>26</v>
      </c>
      <c r="E186" s="64" t="s">
        <v>696</v>
      </c>
      <c r="F186" s="41" t="s">
        <v>697</v>
      </c>
      <c r="G186" s="20"/>
      <c r="H186" s="62">
        <v>32236750</v>
      </c>
      <c r="I186" s="20">
        <f>I185+Table14[[#This Row],[مبلغ ورود]]-Table14[[#This Row],[مبلغ خروج]]</f>
        <v>7095114599</v>
      </c>
      <c r="J186" s="80"/>
    </row>
    <row r="187" spans="1:10" ht="56.25">
      <c r="A187" s="17">
        <v>175</v>
      </c>
      <c r="B187" s="60" t="s">
        <v>693</v>
      </c>
      <c r="C187" s="19" t="s">
        <v>695</v>
      </c>
      <c r="D187" s="78" t="s">
        <v>26</v>
      </c>
      <c r="E187" s="64" t="s">
        <v>698</v>
      </c>
      <c r="F187" s="41" t="s">
        <v>699</v>
      </c>
      <c r="G187" s="20"/>
      <c r="H187" s="62">
        <v>2775000000</v>
      </c>
      <c r="I187" s="20">
        <f>I186+Table14[[#This Row],[مبلغ ورود]]-Table14[[#This Row],[مبلغ خروج]]</f>
        <v>4320114599</v>
      </c>
      <c r="J187" s="80"/>
    </row>
    <row r="188" spans="1:10" ht="21">
      <c r="B188" s="60" t="s">
        <v>693</v>
      </c>
      <c r="C188" s="19"/>
      <c r="D188" s="78" t="s">
        <v>26</v>
      </c>
      <c r="E188" s="64"/>
      <c r="F188" s="41" t="s">
        <v>377</v>
      </c>
      <c r="G188" s="20"/>
      <c r="H188" s="62">
        <f>22610+18060+22560</f>
        <v>63230</v>
      </c>
      <c r="I188" s="20">
        <f>I187+Table14[[#This Row],[مبلغ ورود]]-Table14[[#This Row],[مبلغ خروج]]</f>
        <v>4320051369</v>
      </c>
      <c r="J188" s="67"/>
    </row>
    <row r="189" spans="1:10" ht="21">
      <c r="A189" s="17">
        <v>176</v>
      </c>
      <c r="B189" s="60" t="s">
        <v>701</v>
      </c>
      <c r="C189" s="19" t="s">
        <v>700</v>
      </c>
      <c r="D189" s="78" t="s">
        <v>26</v>
      </c>
      <c r="E189" s="64" t="s">
        <v>702</v>
      </c>
      <c r="F189" s="41" t="s">
        <v>703</v>
      </c>
      <c r="G189" s="20"/>
      <c r="H189" s="62">
        <v>164943520</v>
      </c>
      <c r="I189" s="20">
        <f>I188+Table14[[#This Row],[مبلغ ورود]]-Table14[[#This Row],[مبلغ خروج]]</f>
        <v>4155107849</v>
      </c>
      <c r="J189" s="80"/>
    </row>
    <row r="190" spans="1:10" ht="37.5">
      <c r="A190" s="17">
        <v>177</v>
      </c>
      <c r="B190" s="60" t="s">
        <v>701</v>
      </c>
      <c r="C190" s="19" t="s">
        <v>704</v>
      </c>
      <c r="D190" s="78" t="s">
        <v>26</v>
      </c>
      <c r="E190" s="64" t="s">
        <v>705</v>
      </c>
      <c r="F190" s="41" t="s">
        <v>706</v>
      </c>
      <c r="G190" s="20"/>
      <c r="H190" s="62">
        <v>89170870</v>
      </c>
      <c r="I190" s="20">
        <f>I189+Table14[[#This Row],[مبلغ ورود]]-Table14[[#This Row],[مبلغ خروج]]</f>
        <v>4065936979</v>
      </c>
      <c r="J190" s="80"/>
    </row>
    <row r="191" spans="1:10" ht="21">
      <c r="A191" s="17">
        <v>178</v>
      </c>
      <c r="B191" s="60" t="s">
        <v>701</v>
      </c>
      <c r="C191" s="19"/>
      <c r="D191" s="78" t="s">
        <v>26</v>
      </c>
      <c r="E191" s="64"/>
      <c r="F191" s="41" t="s">
        <v>377</v>
      </c>
      <c r="G191" s="20"/>
      <c r="H191" s="62">
        <v>4550</v>
      </c>
      <c r="I191" s="20">
        <f>I190+Table14[[#This Row],[مبلغ ورود]]-Table14[[#This Row],[مبلغ خروج]]</f>
        <v>4065932429</v>
      </c>
      <c r="J191" s="67"/>
    </row>
    <row r="192" spans="1:10" ht="56.25">
      <c r="A192" s="17">
        <v>179</v>
      </c>
      <c r="B192" s="60" t="s">
        <v>709</v>
      </c>
      <c r="C192" s="19" t="s">
        <v>708</v>
      </c>
      <c r="D192" s="78" t="s">
        <v>26</v>
      </c>
      <c r="E192" s="64" t="s">
        <v>710</v>
      </c>
      <c r="F192" s="41" t="s">
        <v>707</v>
      </c>
      <c r="G192" s="20"/>
      <c r="H192" s="62">
        <v>625000000</v>
      </c>
      <c r="I192" s="20">
        <f>I191+Table14[[#This Row],[مبلغ ورود]]-Table14[[#This Row],[مبلغ خروج]]</f>
        <v>3440932429</v>
      </c>
      <c r="J192" s="81" t="s">
        <v>723</v>
      </c>
    </row>
    <row r="193" spans="1:10" ht="56.25">
      <c r="A193" s="17">
        <v>180</v>
      </c>
      <c r="B193" s="60" t="s">
        <v>709</v>
      </c>
      <c r="C193" s="19"/>
      <c r="D193" s="78" t="s">
        <v>26</v>
      </c>
      <c r="E193" s="64"/>
      <c r="F193" s="41" t="s">
        <v>707</v>
      </c>
      <c r="G193" s="20"/>
      <c r="H193" s="62">
        <v>625000000</v>
      </c>
      <c r="I193" s="20">
        <f>I192+Table14[[#This Row],[مبلغ ورود]]-Table14[[#This Row],[مبلغ خروج]]</f>
        <v>2815932429</v>
      </c>
      <c r="J193" s="67"/>
    </row>
    <row r="194" spans="1:10" ht="37.5">
      <c r="A194" s="17">
        <v>181</v>
      </c>
      <c r="B194" s="60" t="s">
        <v>709</v>
      </c>
      <c r="C194" s="19" t="s">
        <v>714</v>
      </c>
      <c r="D194" s="78" t="s">
        <v>26</v>
      </c>
      <c r="E194" s="64" t="s">
        <v>715</v>
      </c>
      <c r="F194" s="41" t="s">
        <v>716</v>
      </c>
      <c r="G194" s="20"/>
      <c r="H194" s="62">
        <v>1977696000</v>
      </c>
      <c r="I194" s="20">
        <f>I193+Table14[[#This Row],[مبلغ ورود]]-Table14[[#This Row],[مبلغ خروج]]</f>
        <v>838236429</v>
      </c>
      <c r="J194" s="67"/>
    </row>
    <row r="195" spans="1:10" ht="21">
      <c r="A195" s="17">
        <v>182</v>
      </c>
      <c r="B195" s="60" t="s">
        <v>709</v>
      </c>
      <c r="C195" s="19"/>
      <c r="D195" s="78" t="s">
        <v>26</v>
      </c>
      <c r="E195" s="64"/>
      <c r="F195" s="41" t="s">
        <v>721</v>
      </c>
      <c r="G195" s="20"/>
      <c r="H195" s="62">
        <f>6540+250000+250000</f>
        <v>506540</v>
      </c>
      <c r="I195" s="20">
        <f>I194+Table14[[#This Row],[مبلغ ورود]]-Table14[[#This Row],[مبلغ خروج]]</f>
        <v>837729889</v>
      </c>
      <c r="J195" s="67"/>
    </row>
    <row r="196" spans="1:10" ht="37.5">
      <c r="A196" s="17">
        <v>183</v>
      </c>
      <c r="B196" s="60" t="s">
        <v>717</v>
      </c>
      <c r="C196" s="19" t="s">
        <v>718</v>
      </c>
      <c r="D196" s="78" t="s">
        <v>26</v>
      </c>
      <c r="E196" s="64" t="s">
        <v>719</v>
      </c>
      <c r="F196" s="41" t="s">
        <v>720</v>
      </c>
      <c r="G196" s="20"/>
      <c r="H196" s="62">
        <v>239347546</v>
      </c>
      <c r="I196" s="20">
        <f>I195+Table14[[#This Row],[مبلغ ورود]]-Table14[[#This Row],[مبلغ خروج]]</f>
        <v>598382343</v>
      </c>
      <c r="J196" s="67"/>
    </row>
    <row r="197" spans="1:10" ht="21">
      <c r="A197" s="17">
        <v>184</v>
      </c>
      <c r="B197" s="60" t="s">
        <v>717</v>
      </c>
      <c r="C197" s="19"/>
      <c r="D197" s="78" t="s">
        <v>26</v>
      </c>
      <c r="E197" s="64"/>
      <c r="F197" s="41" t="s">
        <v>722</v>
      </c>
      <c r="G197" s="20"/>
      <c r="H197" s="62">
        <f>8910+125000</f>
        <v>133910</v>
      </c>
      <c r="I197" s="20">
        <f>I196+Table14[[#This Row],[مبلغ ورود]]-Table14[[#This Row],[مبلغ خروج]]</f>
        <v>598248433</v>
      </c>
      <c r="J197" s="67"/>
    </row>
    <row r="198" spans="1:10" ht="56.25">
      <c r="A198" s="17">
        <v>185</v>
      </c>
      <c r="B198" s="60" t="s">
        <v>725</v>
      </c>
      <c r="C198" s="19" t="s">
        <v>727</v>
      </c>
      <c r="D198" s="78" t="s">
        <v>26</v>
      </c>
      <c r="E198" s="64" t="s">
        <v>726</v>
      </c>
      <c r="F198" s="41" t="s">
        <v>724</v>
      </c>
      <c r="G198" s="20"/>
      <c r="H198" s="62">
        <v>54579463</v>
      </c>
      <c r="I198" s="20">
        <f>I197+Table14[[#This Row],[مبلغ ورود]]-Table14[[#This Row],[مبلغ خروج]]</f>
        <v>543668970</v>
      </c>
      <c r="J198" s="67"/>
    </row>
    <row r="199" spans="1:10" ht="56.25">
      <c r="A199" s="17">
        <v>186</v>
      </c>
      <c r="B199" s="60" t="s">
        <v>725</v>
      </c>
      <c r="C199" s="19" t="s">
        <v>729</v>
      </c>
      <c r="D199" s="78" t="s">
        <v>26</v>
      </c>
      <c r="E199" s="64" t="s">
        <v>730</v>
      </c>
      <c r="F199" s="41" t="s">
        <v>728</v>
      </c>
      <c r="G199" s="20"/>
      <c r="H199" s="62">
        <v>38087000</v>
      </c>
      <c r="I199" s="20">
        <f>I198+Table14[[#This Row],[مبلغ ورود]]-Table14[[#This Row],[مبلغ خروج]]</f>
        <v>505581970</v>
      </c>
      <c r="J199" s="83"/>
    </row>
    <row r="200" spans="1:10" ht="56.25">
      <c r="A200" s="17">
        <v>187</v>
      </c>
      <c r="B200" s="60" t="s">
        <v>725</v>
      </c>
      <c r="C200" s="19" t="s">
        <v>731</v>
      </c>
      <c r="D200" s="82" t="s">
        <v>26</v>
      </c>
      <c r="E200" s="64" t="s">
        <v>732</v>
      </c>
      <c r="F200" s="41" t="s">
        <v>734</v>
      </c>
      <c r="G200" s="20"/>
      <c r="H200" s="62">
        <v>106449000</v>
      </c>
      <c r="I200" s="20">
        <f>I199+Table14[[#This Row],[مبلغ ورود]]-Table14[[#This Row],[مبلغ خروج]]</f>
        <v>399132970</v>
      </c>
      <c r="J200" s="83"/>
    </row>
    <row r="201" spans="1:10" ht="37.5">
      <c r="A201" s="17">
        <v>188</v>
      </c>
      <c r="B201" s="60" t="s">
        <v>725</v>
      </c>
      <c r="C201" s="19" t="s">
        <v>735</v>
      </c>
      <c r="D201" s="82" t="s">
        <v>26</v>
      </c>
      <c r="E201" s="64" t="s">
        <v>737</v>
      </c>
      <c r="F201" s="56" t="s">
        <v>733</v>
      </c>
      <c r="G201" s="20"/>
      <c r="H201" s="62">
        <v>313446744</v>
      </c>
      <c r="I201" s="20">
        <f>I200+Table14[[#This Row],[مبلغ ورود]]-Table14[[#This Row],[مبلغ خروج]]</f>
        <v>85686226</v>
      </c>
      <c r="J201" s="83"/>
    </row>
    <row r="202" spans="1:10" ht="37.5">
      <c r="A202" s="17">
        <v>189</v>
      </c>
      <c r="B202" s="60" t="s">
        <v>725</v>
      </c>
      <c r="C202" s="19" t="s">
        <v>736</v>
      </c>
      <c r="D202" s="82" t="s">
        <v>26</v>
      </c>
      <c r="E202" s="64" t="s">
        <v>738</v>
      </c>
      <c r="F202" s="56" t="s">
        <v>739</v>
      </c>
      <c r="G202" s="20"/>
      <c r="H202" s="62">
        <v>74809632</v>
      </c>
      <c r="I202" s="20">
        <f>I201+Table14[[#This Row],[مبلغ ورود]]-Table14[[#This Row],[مبلغ خروج]]</f>
        <v>10876594</v>
      </c>
      <c r="J202" s="83"/>
    </row>
    <row r="203" spans="1:10" ht="37.5">
      <c r="A203" s="17">
        <v>190</v>
      </c>
      <c r="B203" s="60" t="s">
        <v>725</v>
      </c>
      <c r="C203" s="19" t="s">
        <v>741</v>
      </c>
      <c r="D203" s="82" t="s">
        <v>26</v>
      </c>
      <c r="E203" s="64" t="s">
        <v>742</v>
      </c>
      <c r="F203" s="41" t="s">
        <v>740</v>
      </c>
      <c r="G203" s="20"/>
      <c r="H203" s="62">
        <v>1735770141</v>
      </c>
      <c r="I203" s="20">
        <f>I202+Table14[[#This Row],[مبلغ ورود]]-Table14[[#This Row],[مبلغ خروج]]</f>
        <v>-1724893547</v>
      </c>
      <c r="J203" s="83"/>
    </row>
    <row r="204" spans="1:10" ht="37.5">
      <c r="A204" s="17">
        <v>191</v>
      </c>
      <c r="B204" s="60" t="s">
        <v>725</v>
      </c>
      <c r="C204" s="19"/>
      <c r="D204" s="82" t="s">
        <v>26</v>
      </c>
      <c r="E204" s="64"/>
      <c r="F204" s="41" t="s">
        <v>355</v>
      </c>
      <c r="G204" s="62">
        <v>10000000000</v>
      </c>
      <c r="H204" s="62"/>
      <c r="I204" s="20">
        <f>I203+Table14[[#This Row],[مبلغ ورود]]-Table14[[#This Row],[مبلغ خروج]]</f>
        <v>8275106453</v>
      </c>
      <c r="J204" s="83"/>
    </row>
    <row r="205" spans="1:10" ht="37.5">
      <c r="A205" s="17">
        <v>192</v>
      </c>
      <c r="B205" s="60" t="s">
        <v>725</v>
      </c>
      <c r="C205" s="19" t="s">
        <v>745</v>
      </c>
      <c r="D205" s="82" t="s">
        <v>26</v>
      </c>
      <c r="E205" s="64" t="s">
        <v>744</v>
      </c>
      <c r="F205" s="41" t="s">
        <v>743</v>
      </c>
      <c r="G205" s="20"/>
      <c r="H205" s="62">
        <v>88005000</v>
      </c>
      <c r="I205" s="20">
        <f>I204+Table14[[#This Row],[مبلغ ورود]]-Table14[[#This Row],[مبلغ خروج]]</f>
        <v>8187101453</v>
      </c>
      <c r="J205" s="83"/>
    </row>
    <row r="206" spans="1:10" ht="37.5">
      <c r="A206" s="17">
        <v>193</v>
      </c>
      <c r="B206" s="60" t="s">
        <v>725</v>
      </c>
      <c r="C206" s="19" t="s">
        <v>746</v>
      </c>
      <c r="D206" s="82" t="s">
        <v>26</v>
      </c>
      <c r="E206" s="64" t="s">
        <v>747</v>
      </c>
      <c r="F206" s="41" t="s">
        <v>748</v>
      </c>
      <c r="G206" s="20"/>
      <c r="H206" s="62">
        <v>1012200000</v>
      </c>
      <c r="I206" s="20">
        <f>I205+Table14[[#This Row],[مبلغ ورود]]-Table14[[#This Row],[مبلغ خروج]]</f>
        <v>7174901453</v>
      </c>
      <c r="J206" s="83"/>
    </row>
    <row r="207" spans="1:10" ht="21">
      <c r="A207" s="17">
        <v>194</v>
      </c>
      <c r="B207" s="60" t="s">
        <v>725</v>
      </c>
      <c r="C207" s="19"/>
      <c r="D207" s="82" t="s">
        <v>26</v>
      </c>
      <c r="E207" s="64"/>
      <c r="F207" s="41" t="s">
        <v>749</v>
      </c>
      <c r="G207" s="20"/>
      <c r="H207" s="62">
        <v>25000</v>
      </c>
      <c r="I207" s="20">
        <f>I206+Table14[[#This Row],[مبلغ ورود]]-Table14[[#This Row],[مبلغ خروج]]</f>
        <v>7174876453</v>
      </c>
      <c r="J207" s="83"/>
    </row>
    <row r="208" spans="1:10" ht="21">
      <c r="A208" s="17">
        <v>195</v>
      </c>
      <c r="B208" s="60" t="s">
        <v>750</v>
      </c>
      <c r="C208" s="19"/>
      <c r="D208" s="82" t="s">
        <v>26</v>
      </c>
      <c r="E208" s="64"/>
      <c r="F208" s="41" t="s">
        <v>332</v>
      </c>
      <c r="G208" s="20"/>
      <c r="H208" s="62">
        <f>250000+10640+30000+30000+8800</f>
        <v>329440</v>
      </c>
      <c r="I208" s="20">
        <f>I207+Table14[[#This Row],[مبلغ ورود]]-Table14[[#This Row],[مبلغ خروج]]</f>
        <v>7174547013</v>
      </c>
      <c r="J208" s="83"/>
    </row>
    <row r="209" spans="1:10" ht="37.5">
      <c r="A209" s="17">
        <v>196</v>
      </c>
      <c r="B209" s="60" t="s">
        <v>751</v>
      </c>
      <c r="C209" s="19" t="s">
        <v>752</v>
      </c>
      <c r="D209" s="82" t="s">
        <v>26</v>
      </c>
      <c r="E209" s="64" t="s">
        <v>753</v>
      </c>
      <c r="F209" s="41" t="s">
        <v>754</v>
      </c>
      <c r="G209" s="20"/>
      <c r="H209" s="62">
        <v>202500000</v>
      </c>
      <c r="I209" s="20">
        <f>I208+Table14[[#This Row],[مبلغ ورود]]-Table14[[#This Row],[مبلغ خروج]]</f>
        <v>6972047013</v>
      </c>
      <c r="J209" s="83"/>
    </row>
    <row r="210" spans="1:10" ht="37.5">
      <c r="A210" s="17">
        <v>197</v>
      </c>
      <c r="B210" s="60" t="s">
        <v>751</v>
      </c>
      <c r="C210" s="19" t="s">
        <v>756</v>
      </c>
      <c r="D210" s="82" t="s">
        <v>26</v>
      </c>
      <c r="E210" s="64" t="s">
        <v>758</v>
      </c>
      <c r="F210" s="41" t="s">
        <v>755</v>
      </c>
      <c r="G210" s="20"/>
      <c r="H210" s="62">
        <v>381500000</v>
      </c>
      <c r="I210" s="20">
        <f>I209+Table14[[#This Row],[مبلغ ورود]]-Table14[[#This Row],[مبلغ خروج]]</f>
        <v>6590547013</v>
      </c>
      <c r="J210" s="83"/>
    </row>
    <row r="211" spans="1:10" ht="37.5">
      <c r="A211" s="17">
        <v>198</v>
      </c>
      <c r="B211" s="60" t="s">
        <v>751</v>
      </c>
      <c r="C211" s="19" t="s">
        <v>757</v>
      </c>
      <c r="D211" s="82" t="s">
        <v>26</v>
      </c>
      <c r="E211" s="64" t="s">
        <v>760</v>
      </c>
      <c r="F211" s="41" t="s">
        <v>759</v>
      </c>
      <c r="G211" s="20"/>
      <c r="H211" s="62">
        <v>19990000</v>
      </c>
      <c r="I211" s="20">
        <f>I210+Table14[[#This Row],[مبلغ ورود]]-Table14[[#This Row],[مبلغ خروج]]</f>
        <v>6570557013</v>
      </c>
      <c r="J211" s="83"/>
    </row>
    <row r="212" spans="1:10" ht="21">
      <c r="A212" s="17">
        <v>199</v>
      </c>
      <c r="B212" s="60" t="s">
        <v>761</v>
      </c>
      <c r="C212" s="19"/>
      <c r="D212" s="82" t="s">
        <v>26</v>
      </c>
      <c r="E212" s="64"/>
      <c r="F212" s="41" t="s">
        <v>332</v>
      </c>
      <c r="G212" s="20"/>
      <c r="H212" s="62">
        <v>200000</v>
      </c>
      <c r="I212" s="20">
        <f>I211+Table14[[#This Row],[مبلغ ورود]]-Table14[[#This Row],[مبلغ خروج]]</f>
        <v>6570357013</v>
      </c>
      <c r="J212" s="83"/>
    </row>
    <row r="213" spans="1:10" ht="37.5">
      <c r="A213" s="17">
        <v>200</v>
      </c>
      <c r="B213" s="60" t="s">
        <v>763</v>
      </c>
      <c r="C213" s="19" t="s">
        <v>764</v>
      </c>
      <c r="D213" s="82" t="s">
        <v>26</v>
      </c>
      <c r="E213" s="64" t="s">
        <v>762</v>
      </c>
      <c r="F213" s="41" t="s">
        <v>765</v>
      </c>
      <c r="G213" s="20"/>
      <c r="H213" s="20">
        <v>1515883154</v>
      </c>
      <c r="I213" s="20">
        <f>I212+Table14[[#This Row],[مبلغ ورود]]-Table14[[#This Row],[مبلغ خروج]]</f>
        <v>5054473859</v>
      </c>
      <c r="J213" s="67"/>
    </row>
    <row r="214" spans="1:10" ht="37.5">
      <c r="A214" s="17">
        <v>201</v>
      </c>
      <c r="B214" s="60" t="s">
        <v>763</v>
      </c>
      <c r="C214" s="19" t="s">
        <v>766</v>
      </c>
      <c r="D214" s="82" t="s">
        <v>26</v>
      </c>
      <c r="E214" s="64" t="s">
        <v>767</v>
      </c>
      <c r="F214" s="41" t="s">
        <v>768</v>
      </c>
      <c r="G214" s="20"/>
      <c r="H214" s="62">
        <v>4000000000</v>
      </c>
      <c r="I214" s="20">
        <f>I213+Table14[[#This Row],[مبلغ ورود]]-Table14[[#This Row],[مبلغ خروج]]</f>
        <v>1054473859</v>
      </c>
      <c r="J214" s="67"/>
    </row>
    <row r="215" spans="1:10" ht="21">
      <c r="A215" s="17">
        <v>202</v>
      </c>
      <c r="B215" s="60" t="s">
        <v>763</v>
      </c>
      <c r="C215" s="19"/>
      <c r="D215" s="82" t="s">
        <v>26</v>
      </c>
      <c r="E215" s="64"/>
      <c r="F215" s="41" t="s">
        <v>332</v>
      </c>
      <c r="G215" s="20"/>
      <c r="H215" s="62">
        <v>250000</v>
      </c>
      <c r="I215" s="20">
        <f>I214+Table14[[#This Row],[مبلغ ورود]]-Table14[[#This Row],[مبلغ خروج]]</f>
        <v>1054223859</v>
      </c>
      <c r="J215" s="67"/>
    </row>
    <row r="216" spans="1:10" ht="37.5">
      <c r="A216" s="17">
        <v>203</v>
      </c>
      <c r="B216" s="60" t="s">
        <v>769</v>
      </c>
      <c r="C216" s="19"/>
      <c r="D216" s="82" t="s">
        <v>26</v>
      </c>
      <c r="E216" s="64"/>
      <c r="F216" s="41" t="s">
        <v>355</v>
      </c>
      <c r="G216" s="62">
        <v>20000000000</v>
      </c>
      <c r="H216" s="62"/>
      <c r="I216" s="20">
        <f>I215+Table14[[#This Row],[مبلغ ورود]]-Table14[[#This Row],[مبلغ خروج]]</f>
        <v>21054223859</v>
      </c>
      <c r="J216" s="67"/>
    </row>
    <row r="217" spans="1:10" ht="37.5">
      <c r="A217" s="17">
        <v>204</v>
      </c>
      <c r="B217" s="60" t="s">
        <v>769</v>
      </c>
      <c r="C217" s="19" t="s">
        <v>770</v>
      </c>
      <c r="D217" s="82" t="s">
        <v>26</v>
      </c>
      <c r="E217" s="64" t="s">
        <v>771</v>
      </c>
      <c r="F217" s="41" t="s">
        <v>772</v>
      </c>
      <c r="G217" s="20"/>
      <c r="H217" s="62">
        <v>4882370000</v>
      </c>
      <c r="I217" s="20">
        <f>I216+Table14[[#This Row],[مبلغ ورود]]-Table14[[#This Row],[مبلغ خروج]]</f>
        <v>16171853859</v>
      </c>
      <c r="J217" s="80"/>
    </row>
    <row r="218" spans="1:10" ht="56.25">
      <c r="A218" s="17">
        <v>205</v>
      </c>
      <c r="B218" s="60" t="s">
        <v>774</v>
      </c>
      <c r="C218" s="19" t="s">
        <v>773</v>
      </c>
      <c r="D218" s="82" t="s">
        <v>26</v>
      </c>
      <c r="E218" s="64" t="s">
        <v>775</v>
      </c>
      <c r="F218" s="41" t="s">
        <v>776</v>
      </c>
      <c r="G218" s="20"/>
      <c r="H218" s="62">
        <v>11781443428</v>
      </c>
      <c r="I218" s="20">
        <f>I217+Table14[[#This Row],[مبلغ ورود]]-Table14[[#This Row],[مبلغ خروج]]</f>
        <v>4390410431</v>
      </c>
      <c r="J218" s="67"/>
    </row>
    <row r="219" spans="1:10" ht="21">
      <c r="A219" s="17">
        <v>206</v>
      </c>
      <c r="B219" s="60" t="s">
        <v>774</v>
      </c>
      <c r="C219" s="19" t="s">
        <v>777</v>
      </c>
      <c r="D219" s="82" t="s">
        <v>26</v>
      </c>
      <c r="E219" s="64"/>
      <c r="F219" s="41" t="s">
        <v>504</v>
      </c>
      <c r="G219" s="20"/>
      <c r="H219" s="20">
        <v>0</v>
      </c>
      <c r="I219" s="20">
        <f>I218+Table14[[#This Row],[مبلغ ورود]]-Table14[[#This Row],[مبلغ خروج]]</f>
        <v>4390410431</v>
      </c>
      <c r="J219" s="67"/>
    </row>
    <row r="220" spans="1:10" ht="37.5">
      <c r="A220" s="17">
        <v>207</v>
      </c>
      <c r="B220" s="60" t="s">
        <v>774</v>
      </c>
      <c r="C220" s="19" t="s">
        <v>778</v>
      </c>
      <c r="D220" s="82" t="s">
        <v>26</v>
      </c>
      <c r="E220" s="64" t="s">
        <v>780</v>
      </c>
      <c r="F220" s="41" t="s">
        <v>783</v>
      </c>
      <c r="G220" s="20"/>
      <c r="H220" s="62">
        <v>74809632</v>
      </c>
      <c r="I220" s="20">
        <f>I219+Table14[[#This Row],[مبلغ ورود]]-Table14[[#This Row],[مبلغ خروج]]</f>
        <v>4315600799</v>
      </c>
      <c r="J220" s="67"/>
    </row>
    <row r="221" spans="1:10" ht="37.5">
      <c r="A221" s="17">
        <v>208</v>
      </c>
      <c r="B221" s="60" t="s">
        <v>774</v>
      </c>
      <c r="C221" s="19" t="s">
        <v>779</v>
      </c>
      <c r="D221" s="82" t="s">
        <v>26</v>
      </c>
      <c r="E221" s="64" t="s">
        <v>781</v>
      </c>
      <c r="F221" s="41" t="s">
        <v>784</v>
      </c>
      <c r="G221" s="20"/>
      <c r="H221" s="62">
        <v>1735770141</v>
      </c>
      <c r="I221" s="20">
        <f>I220+Table14[[#This Row],[مبلغ ورود]]-Table14[[#This Row],[مبلغ خروج]]</f>
        <v>2579830658</v>
      </c>
      <c r="J221" s="67"/>
    </row>
    <row r="222" spans="1:10" ht="37.5">
      <c r="A222" s="17">
        <v>209</v>
      </c>
      <c r="B222" s="60" t="s">
        <v>774</v>
      </c>
      <c r="C222" s="19" t="s">
        <v>785</v>
      </c>
      <c r="D222" s="82" t="s">
        <v>26</v>
      </c>
      <c r="E222" s="64" t="s">
        <v>786</v>
      </c>
      <c r="F222" s="41" t="s">
        <v>787</v>
      </c>
      <c r="G222" s="20"/>
      <c r="H222" s="62">
        <v>239347546</v>
      </c>
      <c r="I222" s="20">
        <f>I221+Table14[[#This Row],[مبلغ ورود]]-Table14[[#This Row],[مبلغ خروج]]</f>
        <v>2340483112</v>
      </c>
      <c r="J222" s="67"/>
    </row>
    <row r="223" spans="1:10" ht="56.25">
      <c r="A223" s="17">
        <v>210</v>
      </c>
      <c r="B223" s="60" t="s">
        <v>774</v>
      </c>
      <c r="C223" s="19" t="s">
        <v>789</v>
      </c>
      <c r="D223" s="82" t="s">
        <v>26</v>
      </c>
      <c r="E223" s="64" t="s">
        <v>791</v>
      </c>
      <c r="F223" s="41" t="s">
        <v>788</v>
      </c>
      <c r="G223" s="20"/>
      <c r="H223" s="62">
        <v>54164431</v>
      </c>
      <c r="I223" s="20">
        <f>I222+Table14[[#This Row],[مبلغ ورود]]-Table14[[#This Row],[مبلغ خروج]]</f>
        <v>2286318681</v>
      </c>
      <c r="J223" s="67"/>
    </row>
    <row r="224" spans="1:10" ht="56.25">
      <c r="A224" s="17">
        <v>211</v>
      </c>
      <c r="B224" s="60" t="s">
        <v>774</v>
      </c>
      <c r="C224" s="19" t="s">
        <v>790</v>
      </c>
      <c r="D224" s="82" t="s">
        <v>26</v>
      </c>
      <c r="E224" s="64" t="s">
        <v>793</v>
      </c>
      <c r="F224" s="41" t="s">
        <v>792</v>
      </c>
      <c r="G224" s="20"/>
      <c r="H224" s="62">
        <v>64566500</v>
      </c>
      <c r="I224" s="20">
        <f>I223+Table14[[#This Row],[مبلغ ورود]]-Table14[[#This Row],[مبلغ خروج]]</f>
        <v>2221752181</v>
      </c>
      <c r="J224" s="67"/>
    </row>
    <row r="225" spans="1:10" ht="37.5">
      <c r="A225" s="17">
        <v>212</v>
      </c>
      <c r="B225" s="60" t="s">
        <v>774</v>
      </c>
      <c r="C225" s="19" t="s">
        <v>794</v>
      </c>
      <c r="D225" s="82" t="s">
        <v>26</v>
      </c>
      <c r="E225" s="64" t="s">
        <v>795</v>
      </c>
      <c r="F225" s="41" t="s">
        <v>782</v>
      </c>
      <c r="G225" s="20"/>
      <c r="H225" s="62">
        <v>315550372</v>
      </c>
      <c r="I225" s="20">
        <f>I224+Table14[[#This Row],[مبلغ ورود]]-Table14[[#This Row],[مبلغ خروج]]</f>
        <v>1906201809</v>
      </c>
      <c r="J225" s="67"/>
    </row>
    <row r="226" spans="1:10" ht="21">
      <c r="A226" s="17">
        <v>213</v>
      </c>
      <c r="B226" s="60" t="s">
        <v>796</v>
      </c>
      <c r="C226" s="19"/>
      <c r="D226" s="82" t="s">
        <v>26</v>
      </c>
      <c r="E226" s="64"/>
      <c r="F226" s="41" t="s">
        <v>332</v>
      </c>
      <c r="G226" s="20"/>
      <c r="H226" s="62">
        <f>250000+250000+30000</f>
        <v>530000</v>
      </c>
      <c r="I226" s="20">
        <f>I225+Table14[[#This Row],[مبلغ ورود]]-Table14[[#This Row],[مبلغ خروج]]</f>
        <v>1905671809</v>
      </c>
      <c r="J226" s="67"/>
    </row>
    <row r="227" spans="1:10" ht="21">
      <c r="A227" s="17">
        <v>214</v>
      </c>
      <c r="B227" s="60" t="s">
        <v>797</v>
      </c>
      <c r="C227" s="19"/>
      <c r="D227" s="82" t="s">
        <v>26</v>
      </c>
      <c r="E227" s="64"/>
      <c r="F227" s="41" t="s">
        <v>332</v>
      </c>
      <c r="G227" s="20"/>
      <c r="H227" s="62">
        <v>30000</v>
      </c>
      <c r="I227" s="20">
        <f>I226+Table14[[#This Row],[مبلغ ورود]]-Table14[[#This Row],[مبلغ خروج]]</f>
        <v>1905641809</v>
      </c>
      <c r="J227" s="67"/>
    </row>
    <row r="228" spans="1:10" ht="37.5">
      <c r="A228" s="17">
        <v>215</v>
      </c>
      <c r="B228" s="60" t="s">
        <v>799</v>
      </c>
      <c r="C228" s="19" t="s">
        <v>798</v>
      </c>
      <c r="D228" s="82" t="s">
        <v>26</v>
      </c>
      <c r="E228" s="64" t="s">
        <v>800</v>
      </c>
      <c r="F228" s="41" t="s">
        <v>801</v>
      </c>
      <c r="G228" s="20"/>
      <c r="H228" s="62">
        <v>602367697</v>
      </c>
      <c r="I228" s="20">
        <f>I227+Table14[[#This Row],[مبلغ ورود]]-Table14[[#This Row],[مبلغ خروج]]</f>
        <v>1303274112</v>
      </c>
      <c r="J228" s="67"/>
    </row>
    <row r="229" spans="1:10" ht="21">
      <c r="A229" s="17">
        <v>216</v>
      </c>
      <c r="B229" s="60" t="s">
        <v>799</v>
      </c>
      <c r="C229" s="19"/>
      <c r="D229" s="18" t="s">
        <v>26</v>
      </c>
      <c r="E229" s="64"/>
      <c r="F229" s="41" t="s">
        <v>802</v>
      </c>
      <c r="G229" s="20"/>
      <c r="H229" s="62">
        <f>110000+94830+120474</f>
        <v>325304</v>
      </c>
      <c r="I229" s="20">
        <f>I228+Table14[[#This Row],[مبلغ ورود]]-Table14[[#This Row],[مبلغ خروج]]</f>
        <v>1302948808</v>
      </c>
      <c r="J229" s="67"/>
    </row>
    <row r="230" spans="1:10" ht="56.25">
      <c r="A230" s="17">
        <v>217</v>
      </c>
      <c r="B230" s="60" t="s">
        <v>804</v>
      </c>
      <c r="C230" s="19" t="s">
        <v>805</v>
      </c>
      <c r="D230" s="18" t="s">
        <v>26</v>
      </c>
      <c r="E230" s="64" t="s">
        <v>806</v>
      </c>
      <c r="F230" s="41" t="s">
        <v>803</v>
      </c>
      <c r="G230" s="20"/>
      <c r="H230" s="62">
        <v>2775000000</v>
      </c>
      <c r="I230" s="20">
        <f>I229+Table14[[#This Row],[مبلغ ورود]]-Table14[[#This Row],[مبلغ خروج]]</f>
        <v>-1472051192</v>
      </c>
      <c r="J230" s="67"/>
    </row>
    <row r="231" spans="1:10" ht="37.5">
      <c r="A231" s="17">
        <v>218</v>
      </c>
      <c r="B231" s="60" t="s">
        <v>804</v>
      </c>
      <c r="C231" s="19"/>
      <c r="D231" s="18" t="s">
        <v>26</v>
      </c>
      <c r="E231" s="64"/>
      <c r="F231" s="41" t="s">
        <v>355</v>
      </c>
      <c r="G231" s="62">
        <v>5000000000</v>
      </c>
      <c r="H231" s="62"/>
      <c r="I231" s="20">
        <f>I230+Table14[[#This Row],[مبلغ ورود]]-Table14[[#This Row],[مبلغ خروج]]</f>
        <v>3527948808</v>
      </c>
      <c r="J231" s="67"/>
    </row>
    <row r="232" spans="1:10" ht="37.5">
      <c r="A232" s="17">
        <v>219</v>
      </c>
      <c r="B232" s="60" t="s">
        <v>804</v>
      </c>
      <c r="C232" s="19" t="s">
        <v>808</v>
      </c>
      <c r="D232" s="18" t="s">
        <v>26</v>
      </c>
      <c r="E232" s="64" t="s">
        <v>807</v>
      </c>
      <c r="F232" s="41" t="s">
        <v>809</v>
      </c>
      <c r="G232" s="20"/>
      <c r="H232" s="62">
        <v>15200000</v>
      </c>
      <c r="I232" s="20">
        <f>I231+Table14[[#This Row],[مبلغ ورود]]-Table14[[#This Row],[مبلغ خروج]]</f>
        <v>3512748808</v>
      </c>
      <c r="J232" s="67"/>
    </row>
    <row r="233" spans="1:10" ht="37.5">
      <c r="A233" s="17">
        <v>220</v>
      </c>
      <c r="B233" s="60" t="s">
        <v>812</v>
      </c>
      <c r="C233" s="19" t="s">
        <v>811</v>
      </c>
      <c r="D233" s="18" t="s">
        <v>26</v>
      </c>
      <c r="E233" s="64" t="s">
        <v>813</v>
      </c>
      <c r="F233" s="41" t="s">
        <v>810</v>
      </c>
      <c r="G233" s="20"/>
      <c r="H233" s="62">
        <v>378970789</v>
      </c>
      <c r="I233" s="20">
        <f>I232+Table14[[#This Row],[مبلغ ورود]]-Table14[[#This Row],[مبلغ خروج]]</f>
        <v>3133778019</v>
      </c>
      <c r="J233" s="67"/>
    </row>
    <row r="234" spans="1:10" ht="37.5">
      <c r="A234" s="17">
        <v>221</v>
      </c>
      <c r="B234" s="60" t="s">
        <v>812</v>
      </c>
      <c r="C234" s="19" t="s">
        <v>815</v>
      </c>
      <c r="D234" s="18" t="s">
        <v>26</v>
      </c>
      <c r="E234" s="64" t="s">
        <v>816</v>
      </c>
      <c r="F234" s="41" t="s">
        <v>814</v>
      </c>
      <c r="G234" s="20"/>
      <c r="H234" s="62">
        <v>285798000</v>
      </c>
      <c r="I234" s="20">
        <f>I233+Table14[[#This Row],[مبلغ ورود]]-Table14[[#This Row],[مبلغ خروج]]</f>
        <v>2847980019</v>
      </c>
      <c r="J234" s="80"/>
    </row>
    <row r="235" spans="1:10" ht="56.25">
      <c r="A235" s="17">
        <v>222</v>
      </c>
      <c r="B235" s="60" t="s">
        <v>812</v>
      </c>
      <c r="C235" s="19" t="s">
        <v>817</v>
      </c>
      <c r="D235" s="18" t="s">
        <v>26</v>
      </c>
      <c r="E235" s="64" t="s">
        <v>819</v>
      </c>
      <c r="F235" s="41" t="s">
        <v>818</v>
      </c>
      <c r="G235" s="20"/>
      <c r="H235" s="62">
        <f>26926000+23727000+15583000+21812000+28986000+4427000+20332000+21160000</f>
        <v>162953000</v>
      </c>
      <c r="I235" s="20">
        <f>I234+Table14[[#This Row],[مبلغ ورود]]-Table14[[#This Row],[مبلغ خروج]]</f>
        <v>2685027019</v>
      </c>
      <c r="J235" s="79"/>
    </row>
    <row r="236" spans="1:10" ht="37.5">
      <c r="A236" s="17">
        <v>223</v>
      </c>
      <c r="B236" s="60" t="s">
        <v>822</v>
      </c>
      <c r="C236" s="19" t="s">
        <v>821</v>
      </c>
      <c r="D236" s="18" t="s">
        <v>26</v>
      </c>
      <c r="E236" s="64" t="s">
        <v>823</v>
      </c>
      <c r="F236" s="41" t="s">
        <v>820</v>
      </c>
      <c r="G236" s="20"/>
      <c r="H236" s="62">
        <v>80307896</v>
      </c>
      <c r="I236" s="20">
        <f>I235+Table14[[#This Row],[مبلغ ورود]]-Table14[[#This Row],[مبلغ خروج]]</f>
        <v>2604719123</v>
      </c>
      <c r="J236" s="67"/>
    </row>
    <row r="237" spans="1:10" ht="37.5">
      <c r="A237" s="17">
        <v>224</v>
      </c>
      <c r="B237" s="60" t="s">
        <v>822</v>
      </c>
      <c r="C237" s="19" t="s">
        <v>824</v>
      </c>
      <c r="D237" s="18" t="s">
        <v>26</v>
      </c>
      <c r="E237" s="64" t="s">
        <v>825</v>
      </c>
      <c r="F237" s="41" t="s">
        <v>826</v>
      </c>
      <c r="G237" s="20"/>
      <c r="H237" s="62">
        <v>1143127890</v>
      </c>
      <c r="I237" s="20">
        <f>I236+Table14[[#This Row],[مبلغ ورود]]-Table14[[#This Row],[مبلغ خروج]]</f>
        <v>1461591233</v>
      </c>
      <c r="J237" s="67"/>
    </row>
    <row r="238" spans="1:10" ht="21">
      <c r="A238" s="17">
        <v>225</v>
      </c>
      <c r="B238" s="60" t="s">
        <v>822</v>
      </c>
      <c r="C238" s="19"/>
      <c r="D238" s="18" t="s">
        <v>26</v>
      </c>
      <c r="E238" s="64"/>
      <c r="F238" s="41" t="s">
        <v>332</v>
      </c>
      <c r="G238" s="20"/>
      <c r="H238" s="62">
        <f>32591+57160+75794+250000</f>
        <v>415545</v>
      </c>
      <c r="I238" s="20">
        <f>I237+Table14[[#This Row],[مبلغ ورود]]-Table14[[#This Row],[مبلغ خروج]]</f>
        <v>1461175688</v>
      </c>
      <c r="J238" s="67"/>
    </row>
    <row r="239" spans="1:10" ht="21">
      <c r="A239" s="17">
        <v>226</v>
      </c>
      <c r="B239" s="60" t="s">
        <v>827</v>
      </c>
      <c r="C239" s="19"/>
      <c r="D239" s="18" t="s">
        <v>26</v>
      </c>
      <c r="E239" s="64"/>
      <c r="F239" s="41" t="s">
        <v>332</v>
      </c>
      <c r="G239" s="20"/>
      <c r="H239" s="62">
        <f>228626+8030</f>
        <v>236656</v>
      </c>
      <c r="I239" s="20">
        <f>I238+Table14[[#This Row],[مبلغ ورود]]-Table14[[#This Row],[مبلغ خروج]]</f>
        <v>1460939032</v>
      </c>
      <c r="J239" s="67"/>
    </row>
    <row r="240" spans="1:10" ht="21">
      <c r="A240" s="17">
        <v>227</v>
      </c>
      <c r="B240" s="60" t="s">
        <v>829</v>
      </c>
      <c r="C240" s="19" t="s">
        <v>830</v>
      </c>
      <c r="D240" s="18" t="s">
        <v>26</v>
      </c>
      <c r="E240" s="64" t="s">
        <v>831</v>
      </c>
      <c r="F240" s="41" t="s">
        <v>504</v>
      </c>
      <c r="G240" s="20"/>
      <c r="H240" s="62">
        <v>0</v>
      </c>
      <c r="I240" s="20">
        <f>I239+Table14[[#This Row],[مبلغ ورود]]-Table14[[#This Row],[مبلغ خروج]]</f>
        <v>1460939032</v>
      </c>
      <c r="J240" s="67"/>
    </row>
    <row r="241" spans="1:10" ht="37.5">
      <c r="A241" s="17">
        <v>228</v>
      </c>
      <c r="B241" s="60" t="s">
        <v>829</v>
      </c>
      <c r="C241" s="19" t="s">
        <v>832</v>
      </c>
      <c r="D241" s="18" t="s">
        <v>26</v>
      </c>
      <c r="E241" s="64" t="s">
        <v>833</v>
      </c>
      <c r="F241" s="41" t="s">
        <v>828</v>
      </c>
      <c r="G241" s="20"/>
      <c r="H241" s="62">
        <v>108203212</v>
      </c>
      <c r="I241" s="20">
        <f>I240+Table14[[#This Row],[مبلغ ورود]]-Table14[[#This Row],[مبلغ خروج]]</f>
        <v>1352735820</v>
      </c>
      <c r="J241" s="67"/>
    </row>
    <row r="242" spans="1:10" ht="21">
      <c r="A242" s="17">
        <v>236</v>
      </c>
      <c r="B242" s="60" t="s">
        <v>854</v>
      </c>
      <c r="C242" s="19"/>
      <c r="D242" s="18" t="s">
        <v>26</v>
      </c>
      <c r="E242" s="64"/>
      <c r="F242" s="41" t="s">
        <v>332</v>
      </c>
      <c r="G242" s="20"/>
      <c r="H242" s="62">
        <v>10820</v>
      </c>
      <c r="I242" s="20">
        <f>I241+Table14[[#This Row],[مبلغ ورود]]-Table14[[#This Row],[مبلغ خروج]]</f>
        <v>1352725000</v>
      </c>
      <c r="J242" s="84"/>
    </row>
    <row r="243" spans="1:10" ht="37.5">
      <c r="A243" s="17">
        <v>229</v>
      </c>
      <c r="B243" s="60" t="s">
        <v>834</v>
      </c>
      <c r="C243" s="19" t="s">
        <v>835</v>
      </c>
      <c r="D243" s="18" t="s">
        <v>26</v>
      </c>
      <c r="E243" s="64" t="s">
        <v>838</v>
      </c>
      <c r="F243" s="41" t="s">
        <v>841</v>
      </c>
      <c r="G243" s="20"/>
      <c r="H243" s="62">
        <v>111943000</v>
      </c>
      <c r="I243" s="20">
        <f>I242+Table14[[#This Row],[مبلغ ورود]]-Table14[[#This Row],[مبلغ خروج]]</f>
        <v>1240782000</v>
      </c>
      <c r="J243" s="84"/>
    </row>
    <row r="244" spans="1:10" ht="37.5">
      <c r="A244" s="17">
        <v>230</v>
      </c>
      <c r="B244" s="60" t="s">
        <v>834</v>
      </c>
      <c r="C244" s="19" t="s">
        <v>836</v>
      </c>
      <c r="D244" s="18" t="s">
        <v>26</v>
      </c>
      <c r="E244" s="64" t="s">
        <v>839</v>
      </c>
      <c r="F244" s="41" t="s">
        <v>842</v>
      </c>
      <c r="G244" s="20"/>
      <c r="H244" s="62">
        <v>115965550</v>
      </c>
      <c r="I244" s="20">
        <f>I243+Table14[[#This Row],[مبلغ ورود]]-Table14[[#This Row],[مبلغ خروج]]</f>
        <v>1124816450</v>
      </c>
      <c r="J244" s="84"/>
    </row>
    <row r="245" spans="1:10" ht="21">
      <c r="A245" s="17">
        <v>231</v>
      </c>
      <c r="B245" s="60" t="s">
        <v>834</v>
      </c>
      <c r="C245" s="19" t="s">
        <v>837</v>
      </c>
      <c r="D245" s="18" t="s">
        <v>26</v>
      </c>
      <c r="E245" s="64" t="s">
        <v>840</v>
      </c>
      <c r="F245" s="41" t="s">
        <v>843</v>
      </c>
      <c r="G245" s="20"/>
      <c r="H245" s="62">
        <v>177092000</v>
      </c>
      <c r="I245" s="20">
        <f>I244+Table14[[#This Row],[مبلغ ورود]]-Table14[[#This Row],[مبلغ خروج]]</f>
        <v>947724450</v>
      </c>
      <c r="J245" s="84"/>
    </row>
    <row r="246" spans="1:10" ht="37.5">
      <c r="A246" s="17">
        <v>232</v>
      </c>
      <c r="B246" s="60" t="s">
        <v>834</v>
      </c>
      <c r="C246" s="19" t="s">
        <v>845</v>
      </c>
      <c r="D246" s="18" t="s">
        <v>26</v>
      </c>
      <c r="E246" s="64" t="s">
        <v>846</v>
      </c>
      <c r="F246" s="41" t="s">
        <v>844</v>
      </c>
      <c r="G246" s="20"/>
      <c r="H246" s="62">
        <v>69632000</v>
      </c>
      <c r="I246" s="20">
        <f>I245+Table14[[#This Row],[مبلغ ورود]]-Table14[[#This Row],[مبلغ خروج]]</f>
        <v>878092450</v>
      </c>
      <c r="J246" s="84"/>
    </row>
    <row r="247" spans="1:10" ht="37.5">
      <c r="A247" s="17">
        <v>233</v>
      </c>
      <c r="B247" s="60" t="s">
        <v>834</v>
      </c>
      <c r="C247" s="19" t="s">
        <v>848</v>
      </c>
      <c r="D247" s="18" t="s">
        <v>26</v>
      </c>
      <c r="E247" s="64" t="s">
        <v>850</v>
      </c>
      <c r="F247" s="41" t="s">
        <v>847</v>
      </c>
      <c r="G247" s="20"/>
      <c r="H247" s="62">
        <v>240920122</v>
      </c>
      <c r="I247" s="20">
        <f>I246+Table14[[#This Row],[مبلغ ورود]]-Table14[[#This Row],[مبلغ خروج]]</f>
        <v>637172328</v>
      </c>
      <c r="J247" s="84"/>
    </row>
    <row r="248" spans="1:10" ht="37.5">
      <c r="A248" s="17">
        <v>234</v>
      </c>
      <c r="B248" s="60" t="s">
        <v>834</v>
      </c>
      <c r="C248" s="19" t="s">
        <v>849</v>
      </c>
      <c r="D248" s="18" t="s">
        <v>26</v>
      </c>
      <c r="E248" s="64" t="s">
        <v>852</v>
      </c>
      <c r="F248" s="41" t="s">
        <v>851</v>
      </c>
      <c r="G248" s="20"/>
      <c r="H248" s="62">
        <v>1735770141</v>
      </c>
      <c r="I248" s="20">
        <f>I247+Table14[[#This Row],[مبلغ ورود]]-Table14[[#This Row],[مبلغ خروج]]</f>
        <v>-1098597813</v>
      </c>
      <c r="J248" s="84"/>
    </row>
    <row r="249" spans="1:10" ht="37.5">
      <c r="A249" s="17">
        <v>235</v>
      </c>
      <c r="B249" s="60" t="s">
        <v>834</v>
      </c>
      <c r="C249" s="19"/>
      <c r="D249" s="18" t="s">
        <v>26</v>
      </c>
      <c r="E249" s="64"/>
      <c r="F249" s="41" t="s">
        <v>853</v>
      </c>
      <c r="G249" s="62">
        <v>5000000000</v>
      </c>
      <c r="H249" s="62"/>
      <c r="I249" s="20">
        <f>I248+Table14[[#This Row],[مبلغ ورود]]-Table14[[#This Row],[مبلغ خروج]]</f>
        <v>3901402187</v>
      </c>
      <c r="J249" s="84"/>
    </row>
    <row r="250" spans="1:10" ht="37.5">
      <c r="A250" s="17">
        <v>236</v>
      </c>
      <c r="B250" s="60" t="s">
        <v>855</v>
      </c>
      <c r="C250" s="19" t="s">
        <v>856</v>
      </c>
      <c r="D250" s="18" t="s">
        <v>26</v>
      </c>
      <c r="E250" s="64" t="s">
        <v>860</v>
      </c>
      <c r="F250" s="56" t="s">
        <v>864</v>
      </c>
      <c r="G250" s="62"/>
      <c r="H250" s="62">
        <v>74837632</v>
      </c>
      <c r="I250" s="20">
        <f>I249+Table14[[#This Row],[مبلغ ورود]]-Table14[[#This Row],[مبلغ خروج]]</f>
        <v>3826564555</v>
      </c>
      <c r="J250" s="67"/>
    </row>
    <row r="251" spans="1:10" ht="37.5">
      <c r="A251" s="17">
        <v>237</v>
      </c>
      <c r="B251" s="60" t="s">
        <v>855</v>
      </c>
      <c r="C251" s="19" t="s">
        <v>857</v>
      </c>
      <c r="D251" s="18" t="s">
        <v>26</v>
      </c>
      <c r="E251" s="64" t="s">
        <v>861</v>
      </c>
      <c r="F251" s="56" t="s">
        <v>865</v>
      </c>
      <c r="G251" s="62"/>
      <c r="H251" s="62">
        <v>36606080</v>
      </c>
      <c r="I251" s="20">
        <f>I250+Table14[[#This Row],[مبلغ ورود]]-Table14[[#This Row],[مبلغ خروج]]</f>
        <v>3789958475</v>
      </c>
      <c r="J251" s="67"/>
    </row>
    <row r="252" spans="1:10" ht="37.5">
      <c r="A252" s="17">
        <v>238</v>
      </c>
      <c r="B252" s="60" t="s">
        <v>855</v>
      </c>
      <c r="C252" s="19" t="s">
        <v>858</v>
      </c>
      <c r="D252" s="18" t="s">
        <v>26</v>
      </c>
      <c r="E252" s="64" t="s">
        <v>862</v>
      </c>
      <c r="F252" s="41" t="s">
        <v>866</v>
      </c>
      <c r="G252" s="62"/>
      <c r="H252" s="20">
        <v>4940845</v>
      </c>
      <c r="I252" s="20">
        <f>I251+Table14[[#This Row],[مبلغ ورود]]-Table14[[#This Row],[مبلغ خروج]]</f>
        <v>3785017630</v>
      </c>
      <c r="J252" s="67"/>
    </row>
    <row r="253" spans="1:10" ht="39.75">
      <c r="A253" s="17">
        <v>239</v>
      </c>
      <c r="B253" s="60" t="s">
        <v>878</v>
      </c>
      <c r="C253" s="19"/>
      <c r="E253" s="64"/>
      <c r="F253" s="41" t="s">
        <v>895</v>
      </c>
      <c r="G253" s="62">
        <v>4940845</v>
      </c>
      <c r="H253" s="20"/>
      <c r="I253" s="20">
        <f>I252+Table14[[#This Row],[مبلغ ورود]]-Table14[[#This Row],[مبلغ خروج]]</f>
        <v>3789958475</v>
      </c>
      <c r="J253" s="67"/>
    </row>
    <row r="254" spans="1:10" ht="21">
      <c r="A254" s="17">
        <v>240</v>
      </c>
      <c r="B254" s="60" t="s">
        <v>878</v>
      </c>
      <c r="C254" s="19"/>
      <c r="E254" s="64"/>
      <c r="F254" s="41" t="s">
        <v>566</v>
      </c>
      <c r="G254" s="62">
        <v>30000</v>
      </c>
      <c r="H254" s="20"/>
      <c r="I254" s="20">
        <f>I253+Table14[[#This Row],[مبلغ ورود]]-Table14[[#This Row],[مبلغ خروج]]</f>
        <v>3789988475</v>
      </c>
      <c r="J254" s="67"/>
    </row>
    <row r="255" spans="1:10" ht="37.5">
      <c r="A255" s="17">
        <v>241</v>
      </c>
      <c r="B255" s="60" t="s">
        <v>855</v>
      </c>
      <c r="C255" s="19" t="s">
        <v>859</v>
      </c>
      <c r="D255" s="18" t="s">
        <v>26</v>
      </c>
      <c r="E255" s="64" t="s">
        <v>863</v>
      </c>
      <c r="F255" s="41" t="s">
        <v>867</v>
      </c>
      <c r="G255" s="62"/>
      <c r="H255" s="62">
        <v>300000000</v>
      </c>
      <c r="I255" s="20">
        <f>I254+Table14[[#This Row],[مبلغ ورود]]-Table14[[#This Row],[مبلغ خروج]]</f>
        <v>3489988475</v>
      </c>
      <c r="J255" s="67"/>
    </row>
    <row r="256" spans="1:10" ht="37.5">
      <c r="A256" s="17">
        <v>242</v>
      </c>
      <c r="B256" s="60" t="s">
        <v>855</v>
      </c>
      <c r="C256" s="19" t="s">
        <v>869</v>
      </c>
      <c r="D256" s="18" t="s">
        <v>26</v>
      </c>
      <c r="E256" s="64" t="s">
        <v>870</v>
      </c>
      <c r="F256" s="41" t="s">
        <v>868</v>
      </c>
      <c r="G256" s="62"/>
      <c r="H256" s="62">
        <v>305794187</v>
      </c>
      <c r="I256" s="20">
        <f>I255+Table14[[#This Row],[مبلغ ورود]]-Table14[[#This Row],[مبلغ خروج]]</f>
        <v>3184194288</v>
      </c>
      <c r="J256" s="67"/>
    </row>
    <row r="257" spans="1:10" ht="56.25">
      <c r="A257" s="17">
        <v>243</v>
      </c>
      <c r="B257" s="60" t="s">
        <v>855</v>
      </c>
      <c r="C257" s="19" t="s">
        <v>871</v>
      </c>
      <c r="D257" s="18" t="s">
        <v>26</v>
      </c>
      <c r="E257" s="64" t="s">
        <v>873</v>
      </c>
      <c r="F257" s="41" t="s">
        <v>875</v>
      </c>
      <c r="G257" s="62"/>
      <c r="H257" s="62">
        <v>44424193</v>
      </c>
      <c r="I257" s="20">
        <f>I256+Table14[[#This Row],[مبلغ ورود]]-Table14[[#This Row],[مبلغ خروج]]</f>
        <v>3139770095</v>
      </c>
      <c r="J257" s="67"/>
    </row>
    <row r="258" spans="1:10" ht="56.25">
      <c r="A258" s="17">
        <v>244</v>
      </c>
      <c r="B258" s="60" t="s">
        <v>855</v>
      </c>
      <c r="C258" s="19" t="s">
        <v>872</v>
      </c>
      <c r="D258" s="18" t="s">
        <v>26</v>
      </c>
      <c r="E258" s="64" t="s">
        <v>874</v>
      </c>
      <c r="F258" s="41" t="s">
        <v>876</v>
      </c>
      <c r="G258" s="20"/>
      <c r="H258" s="62">
        <v>59928579</v>
      </c>
      <c r="I258" s="20">
        <f>I257+Table14[[#This Row],[مبلغ ورود]]-Table14[[#This Row],[مبلغ خروج]]</f>
        <v>3079841516</v>
      </c>
      <c r="J258" s="67"/>
    </row>
    <row r="259" spans="1:10" ht="37.5">
      <c r="A259" s="17">
        <v>245</v>
      </c>
      <c r="B259" s="60" t="s">
        <v>878</v>
      </c>
      <c r="C259" s="19" t="s">
        <v>877</v>
      </c>
      <c r="D259" s="18" t="s">
        <v>26</v>
      </c>
      <c r="E259" s="64" t="s">
        <v>879</v>
      </c>
      <c r="F259" s="41" t="s">
        <v>880</v>
      </c>
      <c r="G259" s="20"/>
      <c r="H259" s="62">
        <v>525600000</v>
      </c>
      <c r="I259" s="20">
        <f>I258+Table14[[#This Row],[مبلغ ورود]]-Table14[[#This Row],[مبلغ خروج]]</f>
        <v>2554241516</v>
      </c>
      <c r="J259" s="67"/>
    </row>
    <row r="260" spans="1:10" ht="21">
      <c r="A260" s="17">
        <v>246</v>
      </c>
      <c r="B260" s="60" t="s">
        <v>855</v>
      </c>
      <c r="C260" s="19"/>
      <c r="D260" s="18" t="s">
        <v>26</v>
      </c>
      <c r="E260" s="64"/>
      <c r="F260" s="41" t="s">
        <v>881</v>
      </c>
      <c r="G260" s="20"/>
      <c r="H260" s="62">
        <f>40000+11590+6960+11190+9000</f>
        <v>78740</v>
      </c>
      <c r="I260" s="20">
        <f>I259+Table14[[#This Row],[مبلغ ورود]]-Table14[[#This Row],[مبلغ خروج]]</f>
        <v>2554162776</v>
      </c>
      <c r="J260" s="67"/>
    </row>
    <row r="261" spans="1:10" ht="21">
      <c r="A261" s="17">
        <v>247</v>
      </c>
      <c r="B261" s="60" t="s">
        <v>878</v>
      </c>
      <c r="C261" s="19"/>
      <c r="D261" s="18" t="s">
        <v>26</v>
      </c>
      <c r="E261" s="64"/>
      <c r="F261" s="41" t="s">
        <v>332</v>
      </c>
      <c r="G261" s="20"/>
      <c r="H261" s="62">
        <f>30000+30000+60000+30000+3660</f>
        <v>153660</v>
      </c>
      <c r="I261" s="20">
        <f>I260+Table14[[#This Row],[مبلغ ورود]]-Table14[[#This Row],[مبلغ خروج]]</f>
        <v>2554009116</v>
      </c>
      <c r="J261" s="67"/>
    </row>
    <row r="262" spans="1:10" ht="56.25">
      <c r="A262" s="17">
        <v>250</v>
      </c>
      <c r="B262" s="19" t="s">
        <v>885</v>
      </c>
      <c r="C262" s="19" t="s">
        <v>882</v>
      </c>
      <c r="D262" s="18" t="s">
        <v>26</v>
      </c>
      <c r="E262" s="19" t="s">
        <v>884</v>
      </c>
      <c r="F262" s="41" t="s">
        <v>883</v>
      </c>
      <c r="G262" s="88"/>
      <c r="H262" s="88">
        <v>625000000</v>
      </c>
      <c r="I262" s="20">
        <f>I261+Table14[[#This Row],[مبلغ ورود]]-Table14[[#This Row],[مبلغ خروج]]</f>
        <v>1929009116</v>
      </c>
      <c r="J262" s="67"/>
    </row>
    <row r="263" spans="1:10" ht="37.5">
      <c r="A263" s="17">
        <v>251</v>
      </c>
      <c r="B263" s="19" t="s">
        <v>885</v>
      </c>
      <c r="C263" s="19" t="s">
        <v>886</v>
      </c>
      <c r="D263" s="18" t="s">
        <v>26</v>
      </c>
      <c r="E263" s="19" t="s">
        <v>888</v>
      </c>
      <c r="F263" s="41" t="s">
        <v>887</v>
      </c>
      <c r="G263" s="88"/>
      <c r="H263" s="88">
        <v>70664000</v>
      </c>
      <c r="I263" s="20">
        <f>I262+Table14[[#This Row],[مبلغ ورود]]-Table14[[#This Row],[مبلغ خروج]]</f>
        <v>1858345116</v>
      </c>
      <c r="J263" s="79"/>
    </row>
    <row r="264" spans="1:10" ht="18.75">
      <c r="A264" s="17">
        <v>252</v>
      </c>
      <c r="B264" s="19" t="s">
        <v>890</v>
      </c>
      <c r="C264" s="19"/>
      <c r="D264" s="18" t="s">
        <v>26</v>
      </c>
      <c r="E264" s="64"/>
      <c r="F264" s="41" t="s">
        <v>565</v>
      </c>
      <c r="G264" s="20"/>
      <c r="H264" s="20">
        <f>7060+125000</f>
        <v>132060</v>
      </c>
      <c r="I264" s="20">
        <f>I263+Table14[[#This Row],[مبلغ ورود]]-Table14[[#This Row],[مبلغ خروج]]</f>
        <v>1858213056</v>
      </c>
      <c r="J264" s="67"/>
    </row>
    <row r="265" spans="1:10" ht="37.5">
      <c r="A265" s="17">
        <v>253</v>
      </c>
      <c r="B265" s="19" t="s">
        <v>891</v>
      </c>
      <c r="C265" s="19" t="s">
        <v>892</v>
      </c>
      <c r="D265" s="18" t="s">
        <v>26</v>
      </c>
      <c r="E265" s="64" t="s">
        <v>893</v>
      </c>
      <c r="F265" s="41" t="s">
        <v>894</v>
      </c>
      <c r="G265" s="20"/>
      <c r="H265" s="20">
        <v>47705520</v>
      </c>
      <c r="I265" s="20">
        <f>I264+Table14[[#This Row],[مبلغ ورود]]-Table14[[#This Row],[مبلغ خروج]]</f>
        <v>1810507536</v>
      </c>
      <c r="J265" s="67"/>
    </row>
    <row r="266" spans="1:10" ht="37.5">
      <c r="A266" s="17">
        <v>254</v>
      </c>
      <c r="B266" s="19" t="s">
        <v>891</v>
      </c>
      <c r="C266" s="19" t="s">
        <v>896</v>
      </c>
      <c r="D266" s="89" t="s">
        <v>26</v>
      </c>
      <c r="E266" s="64" t="s">
        <v>897</v>
      </c>
      <c r="F266" s="41" t="s">
        <v>866</v>
      </c>
      <c r="G266" s="20"/>
      <c r="H266" s="62">
        <v>4940845</v>
      </c>
      <c r="I266" s="20">
        <f>I265+Table14[[#This Row],[مبلغ ورود]]-Table14[[#This Row],[مبلغ خروج]]</f>
        <v>1805566691</v>
      </c>
      <c r="J266" s="90"/>
    </row>
    <row r="267" spans="1:10" ht="37.5">
      <c r="A267" s="17">
        <v>255</v>
      </c>
      <c r="B267" s="19" t="s">
        <v>891</v>
      </c>
      <c r="C267" s="19" t="s">
        <v>898</v>
      </c>
      <c r="D267" s="89" t="s">
        <v>26</v>
      </c>
      <c r="E267" s="64" t="s">
        <v>899</v>
      </c>
      <c r="F267" s="41" t="s">
        <v>902</v>
      </c>
      <c r="G267" s="20"/>
      <c r="H267" s="20">
        <v>52577582</v>
      </c>
      <c r="I267" s="20">
        <f>I266+Table14[[#This Row],[مبلغ ورود]]-Table14[[#This Row],[مبلغ خروج]]</f>
        <v>1752989109</v>
      </c>
      <c r="J267" s="90"/>
    </row>
    <row r="268" spans="1:10" ht="56.25">
      <c r="A268" s="17">
        <v>256</v>
      </c>
      <c r="B268" s="19" t="s">
        <v>891</v>
      </c>
      <c r="C268" s="19" t="s">
        <v>900</v>
      </c>
      <c r="D268" s="89" t="s">
        <v>26</v>
      </c>
      <c r="E268" s="64" t="s">
        <v>901</v>
      </c>
      <c r="F268" s="41" t="s">
        <v>903</v>
      </c>
      <c r="G268" s="20"/>
      <c r="H268" s="20">
        <v>40000000</v>
      </c>
      <c r="I268" s="20">
        <f>I267+Table14[[#This Row],[مبلغ ورود]]-Table14[[#This Row],[مبلغ خروج]]</f>
        <v>1712989109</v>
      </c>
      <c r="J268" s="90"/>
    </row>
    <row r="269" spans="1:10" ht="37.5">
      <c r="A269" s="17">
        <v>257</v>
      </c>
      <c r="B269" s="19" t="s">
        <v>891</v>
      </c>
      <c r="C269" s="19" t="s">
        <v>904</v>
      </c>
      <c r="D269" s="89" t="s">
        <v>26</v>
      </c>
      <c r="E269" s="64" t="s">
        <v>905</v>
      </c>
      <c r="F269" s="41" t="s">
        <v>906</v>
      </c>
      <c r="G269" s="20"/>
      <c r="H269" s="20">
        <v>97010000</v>
      </c>
      <c r="I269" s="20">
        <f>I268+Table14[[#This Row],[مبلغ ورود]]-Table14[[#This Row],[مبلغ خروج]]</f>
        <v>1615979109</v>
      </c>
      <c r="J269" s="90"/>
    </row>
    <row r="270" spans="1:10" ht="37.5">
      <c r="A270" s="17">
        <v>258</v>
      </c>
      <c r="B270" s="19" t="s">
        <v>891</v>
      </c>
      <c r="C270" s="19" t="s">
        <v>908</v>
      </c>
      <c r="D270" s="89" t="s">
        <v>26</v>
      </c>
      <c r="E270" s="64" t="s">
        <v>909</v>
      </c>
      <c r="F270" s="41" t="s">
        <v>907</v>
      </c>
      <c r="G270" s="20"/>
      <c r="H270" s="20">
        <v>114916650</v>
      </c>
      <c r="I270" s="20">
        <f>I269+Table14[[#This Row],[مبلغ ورود]]-Table14[[#This Row],[مبلغ خروج]]</f>
        <v>1501062459</v>
      </c>
      <c r="J270" s="90"/>
    </row>
    <row r="271" spans="1:10" ht="18.75">
      <c r="A271" s="17">
        <v>259</v>
      </c>
      <c r="B271" s="19" t="s">
        <v>910</v>
      </c>
      <c r="C271" s="19"/>
      <c r="D271" s="89" t="s">
        <v>26</v>
      </c>
      <c r="E271" s="64"/>
      <c r="F271" s="41" t="s">
        <v>565</v>
      </c>
      <c r="G271" s="20"/>
      <c r="H271" s="20">
        <f>30000+11490+9700+5250+4000</f>
        <v>60440</v>
      </c>
      <c r="I271" s="20">
        <f t="shared" ref="I271:I283" si="0">I270+G271-H271</f>
        <v>1501002019</v>
      </c>
      <c r="J271" s="93"/>
    </row>
    <row r="272" spans="1:10" ht="37.5">
      <c r="A272" s="17">
        <v>260</v>
      </c>
      <c r="B272" s="19" t="s">
        <v>914</v>
      </c>
      <c r="C272" s="19" t="s">
        <v>913</v>
      </c>
      <c r="D272" s="92" t="s">
        <v>26</v>
      </c>
      <c r="E272" s="64" t="s">
        <v>912</v>
      </c>
      <c r="F272" s="41" t="s">
        <v>911</v>
      </c>
      <c r="G272" s="20"/>
      <c r="H272" s="20">
        <v>119084820</v>
      </c>
      <c r="I272" s="20">
        <f t="shared" si="0"/>
        <v>1381917199</v>
      </c>
      <c r="J272" s="93"/>
    </row>
    <row r="273" spans="1:10" ht="18.75">
      <c r="A273" s="17">
        <v>261</v>
      </c>
      <c r="B273" s="19" t="s">
        <v>915</v>
      </c>
      <c r="C273" s="19"/>
      <c r="D273" s="92" t="s">
        <v>26</v>
      </c>
      <c r="E273" s="64"/>
      <c r="F273" s="41" t="s">
        <v>377</v>
      </c>
      <c r="G273" s="20"/>
      <c r="H273" s="20">
        <v>11900</v>
      </c>
      <c r="I273" s="20">
        <f t="shared" si="0"/>
        <v>1381905299</v>
      </c>
      <c r="J273" s="93"/>
    </row>
    <row r="274" spans="1:10" ht="37.5">
      <c r="A274" s="17">
        <v>262</v>
      </c>
      <c r="B274" s="19" t="s">
        <v>916</v>
      </c>
      <c r="C274" s="19"/>
      <c r="D274" s="92" t="s">
        <v>26</v>
      </c>
      <c r="E274" s="64"/>
      <c r="F274" s="41" t="s">
        <v>355</v>
      </c>
      <c r="G274" s="20">
        <v>3000000000</v>
      </c>
      <c r="H274" s="20"/>
      <c r="I274" s="20">
        <f t="shared" si="0"/>
        <v>4381905299</v>
      </c>
      <c r="J274" s="93"/>
    </row>
    <row r="275" spans="1:10" ht="37.5">
      <c r="A275" s="17">
        <v>263</v>
      </c>
      <c r="B275" s="19" t="s">
        <v>918</v>
      </c>
      <c r="C275" s="19" t="s">
        <v>919</v>
      </c>
      <c r="D275" s="92" t="s">
        <v>26</v>
      </c>
      <c r="E275" s="64" t="s">
        <v>920</v>
      </c>
      <c r="F275" s="41" t="s">
        <v>917</v>
      </c>
      <c r="G275" s="20"/>
      <c r="H275" s="20">
        <v>240424864</v>
      </c>
      <c r="I275" s="20">
        <f t="shared" si="0"/>
        <v>4141480435</v>
      </c>
      <c r="J275" s="93"/>
    </row>
    <row r="276" spans="1:10" ht="37.5">
      <c r="A276" s="17">
        <v>264</v>
      </c>
      <c r="B276" s="19" t="s">
        <v>924</v>
      </c>
      <c r="C276" s="19" t="s">
        <v>922</v>
      </c>
      <c r="D276" s="92" t="s">
        <v>26</v>
      </c>
      <c r="E276" s="64" t="s">
        <v>923</v>
      </c>
      <c r="F276" s="41" t="s">
        <v>921</v>
      </c>
      <c r="G276" s="20"/>
      <c r="H276" s="20">
        <v>800000000</v>
      </c>
      <c r="I276" s="20">
        <f t="shared" si="0"/>
        <v>3341480435</v>
      </c>
      <c r="J276" s="93"/>
    </row>
    <row r="277" spans="1:10" ht="18.75">
      <c r="A277" s="17">
        <v>265</v>
      </c>
      <c r="B277" s="19" t="s">
        <v>926</v>
      </c>
      <c r="C277" s="19"/>
      <c r="D277" s="92" t="s">
        <v>26</v>
      </c>
      <c r="E277" s="64"/>
      <c r="F277" s="41" t="s">
        <v>925</v>
      </c>
      <c r="G277" s="20"/>
      <c r="H277" s="20">
        <v>9000</v>
      </c>
      <c r="I277" s="20">
        <f t="shared" si="0"/>
        <v>3341471435</v>
      </c>
      <c r="J277" s="93"/>
    </row>
    <row r="278" spans="1:10" ht="18.75">
      <c r="A278" s="17">
        <v>266</v>
      </c>
      <c r="B278" s="19" t="s">
        <v>927</v>
      </c>
      <c r="C278" s="19"/>
      <c r="D278" s="92" t="s">
        <v>26</v>
      </c>
      <c r="E278" s="64"/>
      <c r="F278" s="41" t="s">
        <v>928</v>
      </c>
      <c r="G278" s="20"/>
      <c r="H278" s="20">
        <v>160000</v>
      </c>
      <c r="I278" s="20">
        <f t="shared" si="0"/>
        <v>3341311435</v>
      </c>
      <c r="J278" s="93"/>
    </row>
    <row r="279" spans="1:10" ht="56.25">
      <c r="A279" s="17">
        <v>267</v>
      </c>
      <c r="B279" s="19" t="s">
        <v>930</v>
      </c>
      <c r="C279" s="19" t="s">
        <v>931</v>
      </c>
      <c r="D279" s="92" t="s">
        <v>26</v>
      </c>
      <c r="E279" s="64" t="s">
        <v>932</v>
      </c>
      <c r="F279" s="41" t="s">
        <v>929</v>
      </c>
      <c r="G279" s="20"/>
      <c r="H279" s="20">
        <v>625000000</v>
      </c>
      <c r="I279" s="20">
        <f t="shared" si="0"/>
        <v>2716311435</v>
      </c>
      <c r="J279" s="67"/>
    </row>
    <row r="280" spans="1:10" ht="37.5">
      <c r="A280" s="17">
        <v>268</v>
      </c>
      <c r="B280" s="19" t="s">
        <v>935</v>
      </c>
      <c r="C280" s="19" t="s">
        <v>934</v>
      </c>
      <c r="D280" s="92" t="s">
        <v>26</v>
      </c>
      <c r="E280" s="64" t="s">
        <v>936</v>
      </c>
      <c r="F280" s="41" t="s">
        <v>933</v>
      </c>
      <c r="G280" s="20"/>
      <c r="H280" s="94">
        <v>237749117</v>
      </c>
      <c r="I280" s="20">
        <f t="shared" si="0"/>
        <v>2478562318</v>
      </c>
      <c r="J280" s="93"/>
    </row>
    <row r="281" spans="1:10" ht="18.75">
      <c r="A281" s="17">
        <v>269</v>
      </c>
      <c r="B281" s="19" t="s">
        <v>935</v>
      </c>
      <c r="C281" s="19"/>
      <c r="D281" s="92" t="s">
        <v>26</v>
      </c>
      <c r="E281" s="64"/>
      <c r="F281" s="41" t="s">
        <v>332</v>
      </c>
      <c r="G281" s="20"/>
      <c r="H281" s="20">
        <v>125000</v>
      </c>
      <c r="I281" s="20">
        <f t="shared" si="0"/>
        <v>2478437318</v>
      </c>
      <c r="J281" s="93"/>
    </row>
    <row r="282" spans="1:10" ht="18.75">
      <c r="A282" s="17">
        <v>270</v>
      </c>
      <c r="B282" s="19" t="s">
        <v>937</v>
      </c>
      <c r="C282" s="19"/>
      <c r="D282" s="92" t="s">
        <v>26</v>
      </c>
      <c r="E282" s="64"/>
      <c r="F282" s="41" t="s">
        <v>332</v>
      </c>
      <c r="G282" s="20"/>
      <c r="H282" s="20">
        <v>21000</v>
      </c>
      <c r="I282" s="20">
        <f t="shared" si="0"/>
        <v>2478416318</v>
      </c>
      <c r="J282" s="67"/>
    </row>
    <row r="283" spans="1:10" ht="37.5">
      <c r="A283" s="17">
        <v>271</v>
      </c>
      <c r="B283" s="19" t="s">
        <v>941</v>
      </c>
      <c r="C283" s="19" t="s">
        <v>938</v>
      </c>
      <c r="D283" s="92" t="s">
        <v>26</v>
      </c>
      <c r="E283" s="64" t="s">
        <v>939</v>
      </c>
      <c r="F283" s="41" t="s">
        <v>940</v>
      </c>
      <c r="G283" s="20"/>
      <c r="H283" s="20">
        <v>237516159</v>
      </c>
      <c r="I283" s="20">
        <f t="shared" si="0"/>
        <v>2240900159</v>
      </c>
      <c r="J283" s="67"/>
    </row>
    <row r="284" spans="1:10" ht="18.75">
      <c r="A284" s="17">
        <v>272</v>
      </c>
      <c r="B284" s="19" t="s">
        <v>942</v>
      </c>
      <c r="C284" s="19"/>
      <c r="D284" s="92" t="s">
        <v>26</v>
      </c>
      <c r="E284" s="64"/>
      <c r="F284" s="41" t="s">
        <v>332</v>
      </c>
      <c r="G284" s="20"/>
      <c r="H284" s="20">
        <v>9000</v>
      </c>
      <c r="I284" s="20">
        <f t="shared" ref="I284:I302" si="1">I283+G284-H284</f>
        <v>2240891159</v>
      </c>
      <c r="J284" s="95"/>
    </row>
    <row r="285" spans="1:10" ht="37.5">
      <c r="A285" s="17">
        <v>273</v>
      </c>
      <c r="B285" s="19" t="s">
        <v>944</v>
      </c>
      <c r="C285" s="19" t="s">
        <v>943</v>
      </c>
      <c r="D285" s="92" t="s">
        <v>26</v>
      </c>
      <c r="E285" s="64"/>
      <c r="F285" s="41" t="s">
        <v>945</v>
      </c>
      <c r="G285" s="20"/>
      <c r="H285" s="20">
        <v>1974280000</v>
      </c>
      <c r="I285" s="20">
        <f t="shared" si="1"/>
        <v>266611159</v>
      </c>
      <c r="J285" s="95"/>
    </row>
    <row r="286" spans="1:10" ht="18.75">
      <c r="A286" s="17">
        <v>274</v>
      </c>
      <c r="B286" s="19" t="s">
        <v>946</v>
      </c>
      <c r="C286" s="19"/>
      <c r="D286" s="92" t="s">
        <v>26</v>
      </c>
      <c r="E286" s="64"/>
      <c r="F286" s="41" t="s">
        <v>332</v>
      </c>
      <c r="G286" s="20"/>
      <c r="H286" s="20">
        <v>250000</v>
      </c>
      <c r="I286" s="20">
        <f t="shared" si="1"/>
        <v>266361159</v>
      </c>
      <c r="J286" s="95"/>
    </row>
    <row r="287" spans="1:10" ht="37.5">
      <c r="A287" s="17">
        <v>275</v>
      </c>
      <c r="B287" s="19" t="s">
        <v>948</v>
      </c>
      <c r="C287" s="19" t="s">
        <v>947</v>
      </c>
      <c r="D287" s="92" t="s">
        <v>26</v>
      </c>
      <c r="E287" s="64" t="s">
        <v>949</v>
      </c>
      <c r="F287" s="41" t="s">
        <v>950</v>
      </c>
      <c r="G287" s="20"/>
      <c r="H287" s="20">
        <v>237360854</v>
      </c>
      <c r="I287" s="20">
        <f t="shared" si="1"/>
        <v>29000305</v>
      </c>
      <c r="J287" s="95"/>
    </row>
    <row r="288" spans="1:10" ht="18.75">
      <c r="A288" s="17">
        <v>276</v>
      </c>
      <c r="B288" s="19" t="s">
        <v>951</v>
      </c>
      <c r="C288" s="19"/>
      <c r="D288" s="92" t="s">
        <v>26</v>
      </c>
      <c r="E288" s="64"/>
      <c r="F288" s="41" t="s">
        <v>925</v>
      </c>
      <c r="G288" s="20"/>
      <c r="H288" s="20">
        <v>3900</v>
      </c>
      <c r="I288" s="20">
        <f t="shared" si="1"/>
        <v>28996405</v>
      </c>
      <c r="J288" s="95"/>
    </row>
    <row r="289" spans="1:10" ht="37.5">
      <c r="A289" s="17">
        <v>277</v>
      </c>
      <c r="B289" s="19" t="s">
        <v>954</v>
      </c>
      <c r="C289" s="19" t="s">
        <v>953</v>
      </c>
      <c r="D289" s="92" t="s">
        <v>26</v>
      </c>
      <c r="E289" s="64" t="s">
        <v>955</v>
      </c>
      <c r="F289" s="41" t="s">
        <v>952</v>
      </c>
      <c r="G289" s="20"/>
      <c r="H289" s="20">
        <v>237252139</v>
      </c>
      <c r="I289" s="20">
        <f t="shared" si="1"/>
        <v>-208255734</v>
      </c>
      <c r="J289" s="95"/>
    </row>
    <row r="290" spans="1:10" ht="37.5">
      <c r="A290" s="17">
        <v>278</v>
      </c>
      <c r="B290" s="19" t="s">
        <v>954</v>
      </c>
      <c r="C290" s="19"/>
      <c r="D290" s="92" t="s">
        <v>26</v>
      </c>
      <c r="E290" s="64"/>
      <c r="F290" s="41" t="s">
        <v>853</v>
      </c>
      <c r="G290" s="96">
        <v>5000000000</v>
      </c>
      <c r="H290" s="20"/>
      <c r="I290" s="20">
        <f t="shared" si="1"/>
        <v>4791744266</v>
      </c>
      <c r="J290" s="67"/>
    </row>
    <row r="291" spans="1:10" ht="37.5">
      <c r="A291" s="17">
        <v>279</v>
      </c>
      <c r="B291" s="19" t="s">
        <v>957</v>
      </c>
      <c r="C291" s="19" t="s">
        <v>956</v>
      </c>
      <c r="D291" s="92" t="s">
        <v>26</v>
      </c>
      <c r="E291" s="64" t="s">
        <v>958</v>
      </c>
      <c r="F291" s="41" t="s">
        <v>959</v>
      </c>
      <c r="G291" s="20"/>
      <c r="H291" s="20">
        <v>237173076</v>
      </c>
      <c r="I291" s="20">
        <f t="shared" si="1"/>
        <v>4554571190</v>
      </c>
      <c r="J291" s="67"/>
    </row>
    <row r="292" spans="1:10" ht="18.75">
      <c r="A292" s="17">
        <v>280</v>
      </c>
      <c r="B292" s="19" t="s">
        <v>957</v>
      </c>
      <c r="C292" s="19" t="s">
        <v>960</v>
      </c>
      <c r="D292" s="92" t="s">
        <v>26</v>
      </c>
      <c r="E292" s="64" t="s">
        <v>961</v>
      </c>
      <c r="F292" s="41" t="s">
        <v>962</v>
      </c>
      <c r="G292" s="20"/>
      <c r="H292" s="20">
        <v>161080521</v>
      </c>
      <c r="I292" s="20">
        <f t="shared" si="1"/>
        <v>4393490669</v>
      </c>
      <c r="J292" s="67"/>
    </row>
    <row r="293" spans="1:10" ht="18.75">
      <c r="A293" s="17">
        <v>281</v>
      </c>
      <c r="B293" s="19" t="s">
        <v>963</v>
      </c>
      <c r="C293" s="19"/>
      <c r="D293" s="18" t="s">
        <v>26</v>
      </c>
      <c r="E293" s="64"/>
      <c r="F293" s="41" t="s">
        <v>925</v>
      </c>
      <c r="G293" s="20"/>
      <c r="H293" s="20">
        <v>5700</v>
      </c>
      <c r="I293" s="20">
        <f t="shared" si="1"/>
        <v>4393484969</v>
      </c>
      <c r="J293" s="67"/>
    </row>
    <row r="294" spans="1:10" ht="18.75">
      <c r="B294" s="19"/>
      <c r="C294" s="19"/>
      <c r="D294" s="18" t="s">
        <v>26</v>
      </c>
      <c r="E294" s="64"/>
      <c r="G294" s="20"/>
      <c r="H294" s="20"/>
      <c r="I294" s="20">
        <f t="shared" si="1"/>
        <v>4393484969</v>
      </c>
      <c r="J294" s="67"/>
    </row>
    <row r="295" spans="1:10" ht="37.5">
      <c r="B295" s="19"/>
      <c r="C295" s="19"/>
      <c r="E295" s="64"/>
      <c r="F295" s="41" t="s">
        <v>1041</v>
      </c>
      <c r="G295" s="20"/>
      <c r="H295" s="20"/>
      <c r="I295" s="20">
        <f t="shared" si="1"/>
        <v>4393484969</v>
      </c>
      <c r="J295" s="67"/>
    </row>
    <row r="296" spans="1:10" ht="18.75">
      <c r="B296" s="19"/>
      <c r="C296" s="19"/>
      <c r="E296" s="64"/>
      <c r="G296" s="20"/>
      <c r="H296" s="20"/>
      <c r="I296" s="20">
        <f t="shared" si="1"/>
        <v>4393484969</v>
      </c>
      <c r="J296" s="67"/>
    </row>
    <row r="297" spans="1:10" ht="18.75">
      <c r="B297" s="19"/>
      <c r="C297" s="19"/>
      <c r="E297" s="64"/>
      <c r="G297" s="20"/>
      <c r="H297" s="20"/>
      <c r="I297" s="20">
        <f t="shared" si="1"/>
        <v>4393484969</v>
      </c>
      <c r="J297" s="67"/>
    </row>
    <row r="298" spans="1:10" ht="18.75">
      <c r="B298" s="19"/>
      <c r="C298" s="19"/>
      <c r="E298" s="64"/>
      <c r="G298" s="20"/>
      <c r="H298" s="20"/>
      <c r="I298" s="20">
        <f t="shared" si="1"/>
        <v>4393484969</v>
      </c>
      <c r="J298" s="67"/>
    </row>
    <row r="299" spans="1:10" ht="18.75">
      <c r="B299" s="19"/>
      <c r="C299" s="19"/>
      <c r="E299" s="64"/>
      <c r="G299" s="20"/>
      <c r="H299" s="20"/>
      <c r="I299" s="20">
        <f t="shared" si="1"/>
        <v>4393484969</v>
      </c>
      <c r="J299" s="67"/>
    </row>
    <row r="300" spans="1:10" ht="18.75">
      <c r="B300" s="19"/>
      <c r="C300" s="19"/>
      <c r="E300" s="64"/>
      <c r="G300" s="20"/>
      <c r="H300" s="20"/>
      <c r="I300" s="20">
        <f t="shared" si="1"/>
        <v>4393484969</v>
      </c>
      <c r="J300" s="67"/>
    </row>
    <row r="301" spans="1:10" ht="21">
      <c r="B301" s="60"/>
      <c r="C301" s="19"/>
      <c r="D301" s="61"/>
      <c r="E301" s="61"/>
      <c r="F301" s="86"/>
      <c r="G301" s="20"/>
      <c r="H301" s="62"/>
      <c r="I301" s="20">
        <f t="shared" si="1"/>
        <v>4393484969</v>
      </c>
      <c r="J301" s="67"/>
    </row>
    <row r="302" spans="1:10" ht="18.75">
      <c r="C302" s="19"/>
      <c r="D302" s="57"/>
      <c r="E302" s="57"/>
      <c r="F302" s="86"/>
      <c r="G302" s="20"/>
      <c r="H302" s="20"/>
      <c r="I302" s="20">
        <f t="shared" si="1"/>
        <v>4393484969</v>
      </c>
      <c r="J302" s="67"/>
    </row>
    <row r="303" spans="1:10" ht="18.75">
      <c r="C303" s="19"/>
      <c r="D303" s="54"/>
      <c r="E303" s="54"/>
      <c r="G303" s="20"/>
      <c r="H303" s="20"/>
      <c r="I303" s="20">
        <f>I302+Table14[[#This Row],[مبلغ ورود]]-Table14[[#This Row],[مبلغ خروج]]</f>
        <v>4393484969</v>
      </c>
      <c r="J303" s="67"/>
    </row>
    <row r="304" spans="1:10" ht="18.75">
      <c r="C304" s="19"/>
      <c r="G304" s="20"/>
      <c r="H304" s="20"/>
      <c r="I304" s="20">
        <f>I303+Table14[[#This Row],[مبلغ ورود]]-Table14[[#This Row],[مبلغ خروج]]</f>
        <v>4393484969</v>
      </c>
      <c r="J304" s="67"/>
    </row>
    <row r="305" spans="3:10" ht="18.75">
      <c r="C305" s="19"/>
      <c r="D305" s="51"/>
      <c r="E305" s="51"/>
      <c r="F305" s="50"/>
      <c r="G305" s="20"/>
      <c r="H305" s="20"/>
      <c r="I305" s="20">
        <f t="shared" ref="I305" si="2">I304+G305-H305</f>
        <v>4393484969</v>
      </c>
      <c r="J305" s="67"/>
    </row>
    <row r="306" spans="3:10" ht="38.25" customHeight="1">
      <c r="G306" s="45">
        <f>SUBTOTAL(109,Table14[مبلغ ورود])</f>
        <v>710392752161</v>
      </c>
      <c r="H306" s="45">
        <f>SUBTOTAL(109,Table14[مبلغ خروج])</f>
        <v>705999267192</v>
      </c>
      <c r="I306" s="45">
        <f>Table14[[#Totals],[مبلغ ورود]]-Table14[[#Totals],[مبلغ خروج]]</f>
        <v>4393484969</v>
      </c>
      <c r="J306" s="66"/>
    </row>
  </sheetData>
  <mergeCells count="2">
    <mergeCell ref="A1:I1"/>
    <mergeCell ref="A2:I2"/>
  </mergeCells>
  <phoneticPr fontId="17" type="noConversion"/>
  <printOptions horizontalCentered="1"/>
  <pageMargins left="0.70866141732283472" right="0.70866141732283472" top="0.74803149606299213" bottom="1.5354330708661419" header="0.31496062992125984" footer="1.1023622047244095"/>
  <pageSetup paperSize="9" scale="29" orientation="landscape" r:id="rId1"/>
  <headerFooter>
    <oddFooter>&amp;L&amp;P of&amp;N&amp;C&amp;"B Nazanin,Bold"&amp;10میکاییل نوروزی&amp;R&amp;D</oddFooter>
  </headerFooter>
  <rowBreaks count="3" manualBreakCount="3">
    <brk id="19" max="8" man="1"/>
    <brk id="141" max="8" man="1"/>
    <brk id="257" max="8"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F2CD9-C280-497E-AE8B-51C7D136ABC1}">
  <dimension ref="A1:J105"/>
  <sheetViews>
    <sheetView rightToLeft="1" view="pageBreakPreview" topLeftCell="A22" zoomScaleNormal="100" zoomScaleSheetLayoutView="100" workbookViewId="0">
      <selection activeCell="F30" sqref="F30"/>
    </sheetView>
  </sheetViews>
  <sheetFormatPr defaultColWidth="9.140625" defaultRowHeight="38.25" customHeight="1"/>
  <cols>
    <col min="1" max="1" width="6.85546875" style="17" bestFit="1" customWidth="1"/>
    <col min="2" max="2" width="14.7109375" style="17" customWidth="1"/>
    <col min="3" max="3" width="11.140625" style="17" bestFit="1" customWidth="1"/>
    <col min="4" max="4" width="15.85546875" style="18" customWidth="1"/>
    <col min="5" max="5" width="24.7109375" style="64" customWidth="1"/>
    <col min="6" max="6" width="97.42578125" style="41" customWidth="1"/>
    <col min="7" max="7" width="21.28515625" style="40" customWidth="1"/>
    <col min="8" max="8" width="21.7109375" style="40" customWidth="1"/>
    <col min="9" max="9" width="19.42578125" style="40" customWidth="1"/>
    <col min="10" max="10" width="28.140625" style="17" customWidth="1"/>
    <col min="11" max="16384" width="9.140625" style="17"/>
  </cols>
  <sheetData>
    <row r="1" spans="1:10" ht="38.25" customHeight="1">
      <c r="A1" s="115" t="s">
        <v>7</v>
      </c>
      <c r="B1" s="116"/>
      <c r="C1" s="116"/>
      <c r="D1" s="116"/>
      <c r="E1" s="116"/>
      <c r="F1" s="116"/>
      <c r="G1" s="116"/>
      <c r="H1" s="116"/>
      <c r="I1" s="117"/>
    </row>
    <row r="2" spans="1:10" ht="38.25" customHeight="1" thickBot="1">
      <c r="A2" s="118" t="s">
        <v>28</v>
      </c>
      <c r="B2" s="119"/>
      <c r="C2" s="119"/>
      <c r="D2" s="119"/>
      <c r="E2" s="119"/>
      <c r="F2" s="119"/>
      <c r="G2" s="119"/>
      <c r="H2" s="119"/>
      <c r="I2" s="120"/>
    </row>
    <row r="3" spans="1:10" ht="38.25" customHeight="1">
      <c r="A3" s="42" t="s">
        <v>0</v>
      </c>
      <c r="B3" s="42" t="s">
        <v>1</v>
      </c>
      <c r="C3" s="42" t="s">
        <v>2</v>
      </c>
      <c r="D3" s="43" t="s">
        <v>18</v>
      </c>
      <c r="E3" s="97" t="s">
        <v>455</v>
      </c>
      <c r="F3" s="43" t="s">
        <v>19</v>
      </c>
      <c r="G3" s="44" t="s">
        <v>3</v>
      </c>
      <c r="H3" s="44" t="s">
        <v>4</v>
      </c>
      <c r="I3" s="44" t="s">
        <v>5</v>
      </c>
      <c r="J3" s="68" t="s">
        <v>493</v>
      </c>
    </row>
    <row r="4" spans="1:10" ht="38.25" customHeight="1">
      <c r="A4" s="17">
        <v>1</v>
      </c>
      <c r="B4" s="17" t="s">
        <v>964</v>
      </c>
      <c r="D4" s="18" t="s">
        <v>26</v>
      </c>
      <c r="F4" s="41" t="s">
        <v>6</v>
      </c>
      <c r="G4" s="20">
        <v>4393484969</v>
      </c>
      <c r="H4" s="20">
        <v>0</v>
      </c>
      <c r="I4" s="20">
        <f>Table143[[#This Row],[مبلغ ورود]]-Table143[[#This Row],[مبلغ خروج]]</f>
        <v>4393484969</v>
      </c>
      <c r="J4" s="67"/>
    </row>
    <row r="5" spans="1:10" ht="17.25" customHeight="1">
      <c r="A5" s="17">
        <v>2</v>
      </c>
      <c r="B5" s="17" t="s">
        <v>966</v>
      </c>
      <c r="C5" s="19"/>
      <c r="D5" s="18" t="s">
        <v>26</v>
      </c>
      <c r="F5" s="41" t="s">
        <v>965</v>
      </c>
      <c r="G5" s="20"/>
      <c r="H5" s="20">
        <v>110000</v>
      </c>
      <c r="I5" s="20">
        <f>I4+Table143[[#This Row],[مبلغ ورود]]-Table143[[#This Row],[مبلغ خروج]]</f>
        <v>4393374969</v>
      </c>
      <c r="J5" s="67"/>
    </row>
    <row r="6" spans="1:10" ht="17.25" customHeight="1">
      <c r="A6" s="17">
        <v>3</v>
      </c>
      <c r="B6" s="17" t="s">
        <v>967</v>
      </c>
      <c r="C6" s="19" t="s">
        <v>968</v>
      </c>
      <c r="D6" s="18" t="s">
        <v>26</v>
      </c>
      <c r="E6" s="64" t="s">
        <v>969</v>
      </c>
      <c r="F6" s="41" t="s">
        <v>970</v>
      </c>
      <c r="G6" s="20"/>
      <c r="H6" s="20">
        <v>236789700</v>
      </c>
      <c r="I6" s="20">
        <f>I5+Table143[[#This Row],[مبلغ ورود]]-Table143[[#This Row],[مبلغ خروج]]</f>
        <v>4156585269</v>
      </c>
      <c r="J6" s="67"/>
    </row>
    <row r="7" spans="1:10" ht="18.75">
      <c r="A7" s="17">
        <v>4</v>
      </c>
      <c r="B7" s="17" t="s">
        <v>971</v>
      </c>
      <c r="C7" s="19"/>
      <c r="D7" s="18" t="s">
        <v>26</v>
      </c>
      <c r="F7" s="41" t="s">
        <v>334</v>
      </c>
      <c r="G7" s="20"/>
      <c r="H7" s="20">
        <v>3900</v>
      </c>
      <c r="I7" s="20">
        <f>I6+Table143[[#This Row],[مبلغ ورود]]-Table143[[#This Row],[مبلغ خروج]]</f>
        <v>4156581369</v>
      </c>
      <c r="J7" s="67"/>
    </row>
    <row r="8" spans="1:10" ht="18.75">
      <c r="A8" s="17">
        <v>5</v>
      </c>
      <c r="B8" s="17" t="s">
        <v>973</v>
      </c>
      <c r="C8" s="19"/>
      <c r="D8" s="18" t="s">
        <v>26</v>
      </c>
      <c r="F8" s="56" t="s">
        <v>972</v>
      </c>
      <c r="G8" s="20"/>
      <c r="H8" s="20">
        <v>237600</v>
      </c>
      <c r="I8" s="20">
        <f>I7+Table143[[#This Row],[مبلغ ورود]]-Table143[[#This Row],[مبلغ خروج]]</f>
        <v>4156343769</v>
      </c>
      <c r="J8" s="67"/>
    </row>
    <row r="9" spans="1:10" ht="21">
      <c r="A9" s="17">
        <v>6</v>
      </c>
      <c r="B9" s="60" t="s">
        <v>974</v>
      </c>
      <c r="C9" s="19"/>
      <c r="D9" s="18" t="s">
        <v>26</v>
      </c>
      <c r="F9" s="41" t="s">
        <v>975</v>
      </c>
      <c r="G9" s="20"/>
      <c r="H9" s="62">
        <v>420000</v>
      </c>
      <c r="I9" s="20">
        <f>I8+Table143[[#This Row],[مبلغ ورود]]-Table143[[#This Row],[مبلغ خروج]]</f>
        <v>4155923769</v>
      </c>
      <c r="J9" s="83"/>
    </row>
    <row r="10" spans="1:10" ht="37.5">
      <c r="A10" s="17">
        <v>7</v>
      </c>
      <c r="B10" s="60" t="s">
        <v>977</v>
      </c>
      <c r="C10" s="19" t="s">
        <v>978</v>
      </c>
      <c r="D10" s="18" t="s">
        <v>26</v>
      </c>
      <c r="E10" s="64" t="s">
        <v>979</v>
      </c>
      <c r="F10" s="102" t="s">
        <v>976</v>
      </c>
      <c r="G10" s="20"/>
      <c r="H10" s="62">
        <v>394752408</v>
      </c>
      <c r="I10" s="20">
        <f>I9+Table143[[#This Row],[مبلغ ورود]]-Table143[[#This Row],[مبلغ خروج]]</f>
        <v>3761171361</v>
      </c>
      <c r="J10" s="83"/>
    </row>
    <row r="11" spans="1:10" ht="21">
      <c r="A11" s="17">
        <v>8</v>
      </c>
      <c r="B11" s="60" t="s">
        <v>977</v>
      </c>
      <c r="C11" s="19"/>
      <c r="D11" s="18" t="s">
        <v>26</v>
      </c>
      <c r="F11" s="41" t="s">
        <v>334</v>
      </c>
      <c r="G11" s="20"/>
      <c r="H11" s="20">
        <v>3900</v>
      </c>
      <c r="I11" s="20">
        <f>I10+Table143[[#This Row],[مبلغ ورود]]-Table143[[#This Row],[مبلغ خروج]]</f>
        <v>3761167461</v>
      </c>
      <c r="J11" s="67"/>
    </row>
    <row r="12" spans="1:10" ht="21">
      <c r="A12" s="17">
        <v>9</v>
      </c>
      <c r="B12" s="60" t="s">
        <v>981</v>
      </c>
      <c r="C12" s="19"/>
      <c r="D12" s="18" t="s">
        <v>26</v>
      </c>
      <c r="F12" s="41" t="s">
        <v>980</v>
      </c>
      <c r="G12" s="20"/>
      <c r="H12" s="62">
        <v>2580000</v>
      </c>
      <c r="I12" s="20">
        <f>I11+Table143[[#This Row],[مبلغ ورود]]-Table143[[#This Row],[مبلغ خروج]]</f>
        <v>3758587461</v>
      </c>
      <c r="J12" s="67"/>
    </row>
    <row r="13" spans="1:10" ht="37.5">
      <c r="A13" s="17">
        <v>10</v>
      </c>
      <c r="B13" s="60" t="s">
        <v>982</v>
      </c>
      <c r="C13" s="19" t="s">
        <v>983</v>
      </c>
      <c r="D13" s="18" t="s">
        <v>26</v>
      </c>
      <c r="E13" s="64" t="s">
        <v>985</v>
      </c>
      <c r="F13" s="41" t="s">
        <v>984</v>
      </c>
      <c r="G13" s="20"/>
      <c r="H13" s="62">
        <v>3230405100</v>
      </c>
      <c r="I13" s="20">
        <f>I12+Table143[[#This Row],[مبلغ ورود]]-Table143[[#This Row],[مبلغ خروج]]</f>
        <v>528182361</v>
      </c>
      <c r="J13" s="67"/>
    </row>
    <row r="14" spans="1:10" ht="37.5">
      <c r="A14" s="17">
        <v>11</v>
      </c>
      <c r="B14" s="60" t="s">
        <v>986</v>
      </c>
      <c r="C14" s="19" t="s">
        <v>987</v>
      </c>
      <c r="D14" s="18" t="s">
        <v>26</v>
      </c>
      <c r="E14" s="64" t="s">
        <v>988</v>
      </c>
      <c r="F14" s="102" t="s">
        <v>989</v>
      </c>
      <c r="G14" s="62"/>
      <c r="H14" s="62">
        <v>390778983</v>
      </c>
      <c r="I14" s="20">
        <f>I13+Table143[[#This Row],[مبلغ ورود]]-Table143[[#This Row],[مبلغ خروج]]</f>
        <v>137403378</v>
      </c>
      <c r="J14" s="67"/>
    </row>
    <row r="15" spans="1:10" ht="21">
      <c r="A15" s="17">
        <v>12</v>
      </c>
      <c r="B15" s="60" t="s">
        <v>992</v>
      </c>
      <c r="C15" s="19"/>
      <c r="D15" s="18" t="s">
        <v>26</v>
      </c>
      <c r="F15" s="41" t="s">
        <v>990</v>
      </c>
      <c r="G15" s="20"/>
      <c r="H15" s="62">
        <v>420000</v>
      </c>
      <c r="I15" s="20">
        <f>I14+Table143[[#This Row],[مبلغ ورود]]-Table143[[#This Row],[مبلغ خروج]]</f>
        <v>136983378</v>
      </c>
      <c r="J15" s="80"/>
    </row>
    <row r="16" spans="1:10" ht="21">
      <c r="A16" s="17">
        <v>13</v>
      </c>
      <c r="B16" s="60" t="s">
        <v>993</v>
      </c>
      <c r="C16" s="19"/>
      <c r="D16" s="18" t="s">
        <v>26</v>
      </c>
      <c r="F16" s="41" t="s">
        <v>991</v>
      </c>
      <c r="G16" s="20"/>
      <c r="H16" s="62">
        <v>50000</v>
      </c>
      <c r="I16" s="20">
        <f>I15+Table143[[#This Row],[مبلغ ورود]]-Table143[[#This Row],[مبلغ خروج]]</f>
        <v>136933378</v>
      </c>
      <c r="J16" s="67"/>
    </row>
    <row r="17" spans="1:10" ht="37.5">
      <c r="A17" s="17">
        <v>14</v>
      </c>
      <c r="B17" s="60" t="s">
        <v>994</v>
      </c>
      <c r="C17" s="19"/>
      <c r="D17" s="18" t="s">
        <v>26</v>
      </c>
      <c r="F17" s="41" t="s">
        <v>853</v>
      </c>
      <c r="G17" s="20">
        <v>5000000000</v>
      </c>
      <c r="H17" s="62"/>
      <c r="I17" s="20">
        <f>I16+Table143[[#This Row],[مبلغ ورود]]-Table143[[#This Row],[مبلغ خروج]]</f>
        <v>5136933378</v>
      </c>
      <c r="J17" s="67"/>
    </row>
    <row r="18" spans="1:10" ht="21">
      <c r="A18" s="17">
        <v>15</v>
      </c>
      <c r="B18" s="60" t="s">
        <v>998</v>
      </c>
      <c r="C18" s="19" t="s">
        <v>999</v>
      </c>
      <c r="D18" s="18" t="s">
        <v>26</v>
      </c>
      <c r="E18" s="64" t="s">
        <v>1000</v>
      </c>
      <c r="F18" s="102" t="s">
        <v>997</v>
      </c>
      <c r="G18" s="20"/>
      <c r="H18" s="20">
        <v>390778983</v>
      </c>
      <c r="I18" s="20">
        <f>I17+Table143[[#This Row],[مبلغ ورود]]-Table143[[#This Row],[مبلغ خروج]]</f>
        <v>4746154395</v>
      </c>
      <c r="J18" s="67"/>
    </row>
    <row r="19" spans="1:10" ht="21">
      <c r="A19" s="17">
        <v>16</v>
      </c>
      <c r="B19" s="60" t="s">
        <v>1001</v>
      </c>
      <c r="C19" s="19"/>
      <c r="D19" s="18" t="s">
        <v>26</v>
      </c>
      <c r="F19" s="41" t="s">
        <v>334</v>
      </c>
      <c r="G19" s="20"/>
      <c r="H19" s="62">
        <v>3900</v>
      </c>
      <c r="I19" s="20">
        <f>I18+Table143[[#This Row],[مبلغ ورود]]-Table143[[#This Row],[مبلغ خروج]]</f>
        <v>4746150495</v>
      </c>
      <c r="J19" s="67"/>
    </row>
    <row r="20" spans="1:10" ht="21">
      <c r="A20" s="17">
        <v>17</v>
      </c>
      <c r="B20" s="60" t="s">
        <v>1002</v>
      </c>
      <c r="C20" s="19" t="s">
        <v>1006</v>
      </c>
      <c r="D20" s="18" t="s">
        <v>26</v>
      </c>
      <c r="E20" s="64" t="s">
        <v>1004</v>
      </c>
      <c r="F20" s="41" t="s">
        <v>1003</v>
      </c>
      <c r="G20" s="20"/>
      <c r="H20" s="62">
        <v>747656000</v>
      </c>
      <c r="I20" s="20">
        <f>I19+Table143[[#This Row],[مبلغ ورود]]-Table143[[#This Row],[مبلغ خروج]]</f>
        <v>3998494495</v>
      </c>
      <c r="J20" s="67"/>
    </row>
    <row r="21" spans="1:10" ht="37.5">
      <c r="A21" s="17">
        <v>18</v>
      </c>
      <c r="B21" s="60" t="s">
        <v>1002</v>
      </c>
      <c r="C21" s="19" t="s">
        <v>1007</v>
      </c>
      <c r="D21" s="18" t="s">
        <v>26</v>
      </c>
      <c r="E21" s="64" t="s">
        <v>1013</v>
      </c>
      <c r="F21" s="41" t="s">
        <v>1005</v>
      </c>
      <c r="G21" s="20"/>
      <c r="H21" s="62">
        <v>80076500</v>
      </c>
      <c r="I21" s="20">
        <f>I20+Table143[[#This Row],[مبلغ ورود]]-Table143[[#This Row],[مبلغ خروج]]</f>
        <v>3918417995</v>
      </c>
      <c r="J21" s="67"/>
    </row>
    <row r="22" spans="1:10" ht="21">
      <c r="A22" s="17">
        <v>19</v>
      </c>
      <c r="B22" s="60" t="s">
        <v>1009</v>
      </c>
      <c r="C22" s="19"/>
      <c r="D22" s="18" t="s">
        <v>26</v>
      </c>
      <c r="F22" s="41" t="s">
        <v>1008</v>
      </c>
      <c r="G22" s="20"/>
      <c r="H22" s="62">
        <v>8000</v>
      </c>
      <c r="I22" s="20">
        <f>I21+Table143[[#This Row],[مبلغ ورود]]-Table143[[#This Row],[مبلغ خروج]]</f>
        <v>3918409995</v>
      </c>
      <c r="J22" s="67"/>
    </row>
    <row r="23" spans="1:10" ht="21">
      <c r="A23" s="17">
        <v>20</v>
      </c>
      <c r="B23" s="60" t="s">
        <v>1011</v>
      </c>
      <c r="C23" s="19" t="s">
        <v>1010</v>
      </c>
      <c r="D23" s="18" t="s">
        <v>26</v>
      </c>
      <c r="E23" s="64" t="s">
        <v>1012</v>
      </c>
      <c r="F23" s="102" t="s">
        <v>1014</v>
      </c>
      <c r="G23" s="20"/>
      <c r="H23" s="62">
        <v>390778983</v>
      </c>
      <c r="I23" s="20">
        <f>I22+Table143[[#This Row],[مبلغ ورود]]-Table143[[#This Row],[مبلغ خروج]]</f>
        <v>3527631012</v>
      </c>
      <c r="J23" s="67"/>
    </row>
    <row r="24" spans="1:10" ht="21">
      <c r="A24" s="17">
        <v>21</v>
      </c>
      <c r="B24" s="60" t="s">
        <v>1011</v>
      </c>
      <c r="C24" s="19"/>
      <c r="D24" s="18" t="s">
        <v>26</v>
      </c>
      <c r="F24" s="41" t="s">
        <v>334</v>
      </c>
      <c r="G24" s="20"/>
      <c r="H24" s="62">
        <v>3900</v>
      </c>
      <c r="I24" s="20">
        <f>I23+Table143[[#This Row],[مبلغ ورود]]-Table143[[#This Row],[مبلغ خروج]]</f>
        <v>3527627112</v>
      </c>
      <c r="J24" s="67"/>
    </row>
    <row r="25" spans="1:10" ht="21">
      <c r="A25" s="17">
        <v>22</v>
      </c>
      <c r="B25" s="59" t="s">
        <v>994</v>
      </c>
      <c r="C25" s="112" t="s">
        <v>995</v>
      </c>
      <c r="D25" s="113" t="s">
        <v>26</v>
      </c>
      <c r="E25" s="114" t="s">
        <v>996</v>
      </c>
      <c r="F25" s="56" t="s">
        <v>504</v>
      </c>
      <c r="G25" s="109"/>
      <c r="H25" s="110">
        <v>0</v>
      </c>
      <c r="I25" s="20">
        <f>I24+Table143[[#This Row],[مبلغ ورود]]-Table143[[#This Row],[مبلغ خروج]]</f>
        <v>3527627112</v>
      </c>
      <c r="J25" s="67"/>
    </row>
    <row r="26" spans="1:10" ht="21">
      <c r="A26" s="17">
        <v>23</v>
      </c>
      <c r="B26" s="60" t="s">
        <v>1020</v>
      </c>
      <c r="C26" s="19" t="s">
        <v>1021</v>
      </c>
      <c r="D26" s="113" t="s">
        <v>26</v>
      </c>
      <c r="E26" s="64" t="s">
        <v>1022</v>
      </c>
      <c r="F26" s="102" t="s">
        <v>1023</v>
      </c>
      <c r="G26" s="20"/>
      <c r="H26" s="62">
        <v>390778980</v>
      </c>
      <c r="I26" s="20">
        <f>I25+Table143[[#This Row],[مبلغ ورود]]-Table143[[#This Row],[مبلغ خروج]]</f>
        <v>3136848132</v>
      </c>
      <c r="J26" s="67"/>
    </row>
    <row r="27" spans="1:10" ht="21">
      <c r="A27" s="17">
        <v>24</v>
      </c>
      <c r="B27" s="60" t="s">
        <v>1020</v>
      </c>
      <c r="C27" s="19"/>
      <c r="D27" s="113" t="s">
        <v>26</v>
      </c>
      <c r="F27" s="41" t="s">
        <v>334</v>
      </c>
      <c r="G27" s="20"/>
      <c r="H27" s="62">
        <v>3900</v>
      </c>
      <c r="I27" s="20">
        <f>I26+Table143[[#This Row],[مبلغ ورود]]-Table143[[#This Row],[مبلغ خروج]]</f>
        <v>3136844232</v>
      </c>
      <c r="J27" s="67"/>
    </row>
    <row r="28" spans="1:10" ht="37.5">
      <c r="A28" s="17">
        <v>25</v>
      </c>
      <c r="B28" s="60" t="s">
        <v>1024</v>
      </c>
      <c r="C28" s="19" t="s">
        <v>1025</v>
      </c>
      <c r="D28" s="113" t="s">
        <v>26</v>
      </c>
      <c r="E28" s="64" t="s">
        <v>1026</v>
      </c>
      <c r="F28" s="56" t="s">
        <v>1027</v>
      </c>
      <c r="G28" s="109"/>
      <c r="H28" s="110">
        <v>314358856</v>
      </c>
      <c r="I28" s="20">
        <f>I27+Table143[[#This Row],[مبلغ ورود]]-Table143[[#This Row],[مبلغ خروج]]</f>
        <v>2822485376</v>
      </c>
      <c r="J28" s="67"/>
    </row>
    <row r="29" spans="1:10" ht="21">
      <c r="A29" s="17">
        <v>26</v>
      </c>
      <c r="B29" s="60" t="s">
        <v>1029</v>
      </c>
      <c r="C29" s="19"/>
      <c r="D29" s="113" t="s">
        <v>26</v>
      </c>
      <c r="F29" s="41" t="s">
        <v>1028</v>
      </c>
      <c r="G29" s="62"/>
      <c r="H29" s="62">
        <v>12000</v>
      </c>
      <c r="I29" s="20">
        <f>I28+Table143[[#This Row],[مبلغ ورود]]-Table143[[#This Row],[مبلغ خروج]]</f>
        <v>2822473376</v>
      </c>
      <c r="J29" s="67"/>
    </row>
    <row r="30" spans="1:10" ht="21">
      <c r="A30" s="17">
        <v>27</v>
      </c>
      <c r="B30" s="60" t="s">
        <v>1035</v>
      </c>
      <c r="C30" s="19" t="s">
        <v>1036</v>
      </c>
      <c r="D30" s="113" t="s">
        <v>26</v>
      </c>
      <c r="E30" s="64" t="s">
        <v>1037</v>
      </c>
      <c r="F30" s="102" t="s">
        <v>1038</v>
      </c>
      <c r="G30" s="20"/>
      <c r="H30" s="62">
        <v>390778983</v>
      </c>
      <c r="I30" s="20">
        <f>I29+Table143[[#This Row],[مبلغ ورود]]-Table143[[#This Row],[مبلغ خروج]]</f>
        <v>2431694393</v>
      </c>
      <c r="J30" s="67"/>
    </row>
    <row r="31" spans="1:10" ht="21">
      <c r="A31" s="17">
        <v>28</v>
      </c>
      <c r="B31" s="60" t="s">
        <v>1040</v>
      </c>
      <c r="C31" s="19"/>
      <c r="D31" s="113" t="s">
        <v>26</v>
      </c>
      <c r="F31" s="41" t="s">
        <v>1039</v>
      </c>
      <c r="G31" s="20"/>
      <c r="H31" s="62">
        <v>10000</v>
      </c>
      <c r="I31" s="20">
        <f>I30+Table143[[#This Row],[مبلغ ورود]]-Table143[[#This Row],[مبلغ خروج]]</f>
        <v>2431684393</v>
      </c>
      <c r="J31" s="67"/>
    </row>
    <row r="32" spans="1:10" ht="21">
      <c r="B32" s="60"/>
      <c r="C32" s="19"/>
      <c r="G32" s="20"/>
      <c r="H32" s="62"/>
      <c r="I32" s="20">
        <f>I31+Table143[[#This Row],[مبلغ ورود]]-Table143[[#This Row],[مبلغ خروج]]</f>
        <v>2431684393</v>
      </c>
      <c r="J32" s="67"/>
    </row>
    <row r="33" spans="2:10" ht="21">
      <c r="B33" s="60"/>
      <c r="C33" s="19"/>
      <c r="G33" s="20"/>
      <c r="H33" s="62"/>
      <c r="I33" s="20">
        <f>I32+Table143[[#This Row],[مبلغ ورود]]-Table143[[#This Row],[مبلغ خروج]]</f>
        <v>2431684393</v>
      </c>
      <c r="J33" s="67"/>
    </row>
    <row r="34" spans="2:10" ht="21">
      <c r="B34" s="60"/>
      <c r="C34" s="19"/>
      <c r="G34" s="20"/>
      <c r="H34" s="62"/>
      <c r="I34" s="20">
        <f>I33+Table143[[#This Row],[مبلغ ورود]]-Table143[[#This Row],[مبلغ خروج]]</f>
        <v>2431684393</v>
      </c>
      <c r="J34" s="67"/>
    </row>
    <row r="35" spans="2:10" ht="21">
      <c r="B35" s="60"/>
      <c r="C35" s="19"/>
      <c r="G35" s="20"/>
      <c r="H35" s="62"/>
      <c r="I35" s="20">
        <f>I34+Table143[[#This Row],[مبلغ ورود]]-Table143[[#This Row],[مبلغ خروج]]</f>
        <v>2431684393</v>
      </c>
      <c r="J35" s="80"/>
    </row>
    <row r="36" spans="2:10" ht="21">
      <c r="B36" s="60"/>
      <c r="C36" s="19"/>
      <c r="G36" s="20"/>
      <c r="H36" s="62"/>
      <c r="I36" s="20">
        <f>I35+Table143[[#This Row],[مبلغ ورود]]-Table143[[#This Row],[مبلغ خروج]]</f>
        <v>2431684393</v>
      </c>
      <c r="J36" s="79"/>
    </row>
    <row r="37" spans="2:10" ht="21">
      <c r="B37" s="104"/>
      <c r="C37" s="105"/>
      <c r="D37" s="106" t="s">
        <v>1034</v>
      </c>
      <c r="E37" s="107"/>
      <c r="F37" s="111" t="s">
        <v>1019</v>
      </c>
      <c r="G37" s="20"/>
      <c r="H37" s="103"/>
      <c r="I37" s="20">
        <f>I36+Table143[[#This Row],[مبلغ ورود]]-Table143[[#This Row],[مبلغ خروج]]</f>
        <v>2431684393</v>
      </c>
      <c r="J37" s="67"/>
    </row>
    <row r="38" spans="2:10" ht="37.5">
      <c r="B38" s="104" t="s">
        <v>1015</v>
      </c>
      <c r="C38" s="105" t="s">
        <v>1016</v>
      </c>
      <c r="D38" s="106" t="s">
        <v>26</v>
      </c>
      <c r="E38" s="107" t="s">
        <v>1017</v>
      </c>
      <c r="F38" s="86" t="s">
        <v>1018</v>
      </c>
      <c r="G38" s="20"/>
      <c r="H38" s="108">
        <v>1000000000</v>
      </c>
      <c r="I38" s="20">
        <f>I37+Table143[[#This Row],[مبلغ ورود]]-Table143[[#This Row],[مبلغ خروج]]</f>
        <v>1431684393</v>
      </c>
      <c r="J38" s="67"/>
    </row>
    <row r="39" spans="2:10" ht="37.5">
      <c r="B39" s="104" t="s">
        <v>1030</v>
      </c>
      <c r="C39" s="105" t="s">
        <v>1031</v>
      </c>
      <c r="D39" s="106" t="s">
        <v>26</v>
      </c>
      <c r="E39" s="107" t="s">
        <v>1032</v>
      </c>
      <c r="F39" s="86" t="s">
        <v>1033</v>
      </c>
      <c r="G39" s="103"/>
      <c r="H39" s="108">
        <v>1710720000</v>
      </c>
      <c r="I39" s="20">
        <f>I38+Table143[[#This Row],[مبلغ ورود]]-Table143[[#This Row],[مبلغ خروج]]</f>
        <v>-279035607</v>
      </c>
      <c r="J39" s="67"/>
    </row>
    <row r="40" spans="2:10" ht="21">
      <c r="B40" s="60"/>
      <c r="C40" s="19"/>
      <c r="G40" s="20"/>
      <c r="H40" s="62"/>
      <c r="I40" s="20">
        <f>I39+Table143[[#This Row],[مبلغ ورود]]-Table143[[#This Row],[مبلغ خروج]]</f>
        <v>-279035607</v>
      </c>
      <c r="J40" s="67"/>
    </row>
    <row r="41" spans="2:10" ht="21">
      <c r="B41" s="60"/>
      <c r="C41" s="19"/>
      <c r="G41" s="20"/>
      <c r="H41" s="62"/>
      <c r="I41" s="20">
        <f>I40+Table143[[#This Row],[مبلغ ورود]]-Table143[[#This Row],[مبلغ خروج]]</f>
        <v>-279035607</v>
      </c>
      <c r="J41" s="84"/>
    </row>
    <row r="42" spans="2:10" ht="21">
      <c r="B42" s="60"/>
      <c r="C42" s="19"/>
      <c r="G42" s="20"/>
      <c r="H42" s="62"/>
      <c r="I42" s="20">
        <f>I41+Table143[[#This Row],[مبلغ ورود]]-Table143[[#This Row],[مبلغ خروج]]</f>
        <v>-279035607</v>
      </c>
      <c r="J42" s="84"/>
    </row>
    <row r="43" spans="2:10" ht="21">
      <c r="B43" s="60"/>
      <c r="C43" s="19"/>
      <c r="G43" s="20"/>
      <c r="H43" s="62"/>
      <c r="I43" s="20">
        <f>I42+Table143[[#This Row],[مبلغ ورود]]-Table143[[#This Row],[مبلغ خروج]]</f>
        <v>-279035607</v>
      </c>
      <c r="J43" s="84"/>
    </row>
    <row r="44" spans="2:10" ht="21">
      <c r="B44" s="60"/>
      <c r="C44" s="19"/>
      <c r="G44" s="20"/>
      <c r="H44" s="62"/>
      <c r="I44" s="20">
        <f>I43+Table143[[#This Row],[مبلغ ورود]]-Table143[[#This Row],[مبلغ خروج]]</f>
        <v>-279035607</v>
      </c>
      <c r="J44" s="84"/>
    </row>
    <row r="45" spans="2:10" ht="21">
      <c r="B45" s="60"/>
      <c r="C45" s="19"/>
      <c r="G45" s="20"/>
      <c r="H45" s="62"/>
      <c r="I45" s="20">
        <f>I44+Table143[[#This Row],[مبلغ ورود]]-Table143[[#This Row],[مبلغ خروج]]</f>
        <v>-279035607</v>
      </c>
      <c r="J45" s="84"/>
    </row>
    <row r="46" spans="2:10" ht="21">
      <c r="B46" s="60"/>
      <c r="C46" s="19"/>
      <c r="G46" s="20"/>
      <c r="H46" s="62"/>
      <c r="I46" s="20">
        <f>I45+Table143[[#This Row],[مبلغ ورود]]-Table143[[#This Row],[مبلغ خروج]]</f>
        <v>-279035607</v>
      </c>
      <c r="J46" s="84"/>
    </row>
    <row r="47" spans="2:10" ht="21">
      <c r="B47" s="60"/>
      <c r="C47" s="19"/>
      <c r="G47" s="20"/>
      <c r="H47" s="62"/>
      <c r="I47" s="20">
        <f>I46+Table143[[#This Row],[مبلغ ورود]]-Table143[[#This Row],[مبلغ خروج]]</f>
        <v>-279035607</v>
      </c>
      <c r="J47" s="84"/>
    </row>
    <row r="48" spans="2:10" ht="21">
      <c r="B48" s="60"/>
      <c r="C48" s="19"/>
      <c r="G48" s="62"/>
      <c r="H48" s="62"/>
      <c r="I48" s="20">
        <f>I47+Table143[[#This Row],[مبلغ ورود]]-Table143[[#This Row],[مبلغ خروج]]</f>
        <v>-279035607</v>
      </c>
      <c r="J48" s="84"/>
    </row>
    <row r="49" spans="2:10" ht="21">
      <c r="B49" s="60"/>
      <c r="C49" s="19"/>
      <c r="F49" s="56"/>
      <c r="G49" s="62"/>
      <c r="H49" s="62"/>
      <c r="I49" s="20">
        <f>I48+Table143[[#This Row],[مبلغ ورود]]-Table143[[#This Row],[مبلغ خروج]]</f>
        <v>-279035607</v>
      </c>
      <c r="J49" s="67"/>
    </row>
    <row r="50" spans="2:10" ht="21">
      <c r="B50" s="60"/>
      <c r="C50" s="19"/>
      <c r="F50" s="56"/>
      <c r="G50" s="62"/>
      <c r="H50" s="62"/>
      <c r="I50" s="20">
        <f>I49+Table143[[#This Row],[مبلغ ورود]]-Table143[[#This Row],[مبلغ خروج]]</f>
        <v>-279035607</v>
      </c>
      <c r="J50" s="67"/>
    </row>
    <row r="51" spans="2:10" ht="21">
      <c r="B51" s="60"/>
      <c r="C51" s="19"/>
      <c r="G51" s="62"/>
      <c r="H51" s="20"/>
      <c r="I51" s="20">
        <f>I50+Table143[[#This Row],[مبلغ ورود]]-Table143[[#This Row],[مبلغ خروج]]</f>
        <v>-279035607</v>
      </c>
      <c r="J51" s="67"/>
    </row>
    <row r="52" spans="2:10" ht="21">
      <c r="B52" s="60"/>
      <c r="C52" s="19"/>
      <c r="G52" s="62"/>
      <c r="H52" s="20"/>
      <c r="I52" s="20">
        <f>I51+Table143[[#This Row],[مبلغ ورود]]-Table143[[#This Row],[مبلغ خروج]]</f>
        <v>-279035607</v>
      </c>
      <c r="J52" s="67"/>
    </row>
    <row r="53" spans="2:10" ht="21">
      <c r="B53" s="60"/>
      <c r="C53" s="19"/>
      <c r="G53" s="62"/>
      <c r="H53" s="20"/>
      <c r="I53" s="20">
        <f>I52+Table143[[#This Row],[مبلغ ورود]]-Table143[[#This Row],[مبلغ خروج]]</f>
        <v>-279035607</v>
      </c>
      <c r="J53" s="67"/>
    </row>
    <row r="54" spans="2:10" ht="21">
      <c r="B54" s="60"/>
      <c r="C54" s="19"/>
      <c r="G54" s="62"/>
      <c r="H54" s="62"/>
      <c r="I54" s="20">
        <f>I53+Table143[[#This Row],[مبلغ ورود]]-Table143[[#This Row],[مبلغ خروج]]</f>
        <v>-279035607</v>
      </c>
      <c r="J54" s="67"/>
    </row>
    <row r="55" spans="2:10" ht="21">
      <c r="B55" s="60"/>
      <c r="C55" s="19"/>
      <c r="G55" s="62"/>
      <c r="H55" s="62"/>
      <c r="I55" s="20">
        <f>I54+Table143[[#This Row],[مبلغ ورود]]-Table143[[#This Row],[مبلغ خروج]]</f>
        <v>-279035607</v>
      </c>
      <c r="J55" s="67"/>
    </row>
    <row r="56" spans="2:10" ht="21">
      <c r="B56" s="60"/>
      <c r="C56" s="19"/>
      <c r="G56" s="62"/>
      <c r="H56" s="62"/>
      <c r="I56" s="20">
        <f>I55+Table143[[#This Row],[مبلغ ورود]]-Table143[[#This Row],[مبلغ خروج]]</f>
        <v>-279035607</v>
      </c>
      <c r="J56" s="67"/>
    </row>
    <row r="57" spans="2:10" ht="21">
      <c r="B57" s="60"/>
      <c r="C57" s="19"/>
      <c r="G57" s="20"/>
      <c r="H57" s="62"/>
      <c r="I57" s="20">
        <f>I56+Table143[[#This Row],[مبلغ ورود]]-Table143[[#This Row],[مبلغ خروج]]</f>
        <v>-279035607</v>
      </c>
      <c r="J57" s="67"/>
    </row>
    <row r="58" spans="2:10" ht="21">
      <c r="B58" s="60"/>
      <c r="C58" s="19"/>
      <c r="G58" s="20"/>
      <c r="H58" s="62"/>
      <c r="I58" s="20">
        <f>I57+Table143[[#This Row],[مبلغ ورود]]-Table143[[#This Row],[مبلغ خروج]]</f>
        <v>-279035607</v>
      </c>
      <c r="J58" s="67"/>
    </row>
    <row r="59" spans="2:10" ht="21">
      <c r="B59" s="60"/>
      <c r="C59" s="19"/>
      <c r="G59" s="20"/>
      <c r="H59" s="62"/>
      <c r="I59" s="20">
        <f>I58+Table143[[#This Row],[مبلغ ورود]]-Table143[[#This Row],[مبلغ خروج]]</f>
        <v>-279035607</v>
      </c>
      <c r="J59" s="67"/>
    </row>
    <row r="60" spans="2:10" ht="21">
      <c r="B60" s="60"/>
      <c r="C60" s="19"/>
      <c r="G60" s="20"/>
      <c r="H60" s="62"/>
      <c r="I60" s="20">
        <f>I59+Table143[[#This Row],[مبلغ ورود]]-Table143[[#This Row],[مبلغ خروج]]</f>
        <v>-279035607</v>
      </c>
      <c r="J60" s="67"/>
    </row>
    <row r="61" spans="2:10" ht="18.75">
      <c r="B61" s="19"/>
      <c r="C61" s="19"/>
      <c r="E61" s="19"/>
      <c r="G61" s="88"/>
      <c r="H61" s="88"/>
      <c r="I61" s="20">
        <f>I60+Table143[[#This Row],[مبلغ ورود]]-Table143[[#This Row],[مبلغ خروج]]</f>
        <v>-279035607</v>
      </c>
      <c r="J61" s="67"/>
    </row>
    <row r="62" spans="2:10" ht="18.75">
      <c r="B62" s="19"/>
      <c r="C62" s="19"/>
      <c r="E62" s="19"/>
      <c r="G62" s="88"/>
      <c r="H62" s="88"/>
      <c r="I62" s="20">
        <f>I61+Table143[[#This Row],[مبلغ ورود]]-Table143[[#This Row],[مبلغ خروج]]</f>
        <v>-279035607</v>
      </c>
      <c r="J62" s="79"/>
    </row>
    <row r="63" spans="2:10" ht="18.75">
      <c r="B63" s="19"/>
      <c r="C63" s="19"/>
      <c r="G63" s="20"/>
      <c r="H63" s="20"/>
      <c r="I63" s="20">
        <f>I62+Table143[[#This Row],[مبلغ ورود]]-Table143[[#This Row],[مبلغ خروج]]</f>
        <v>-279035607</v>
      </c>
      <c r="J63" s="67"/>
    </row>
    <row r="64" spans="2:10" ht="18.75">
      <c r="B64" s="19"/>
      <c r="C64" s="19"/>
      <c r="G64" s="20"/>
      <c r="H64" s="20"/>
      <c r="I64" s="20">
        <f>I63+Table143[[#This Row],[مبلغ ورود]]-Table143[[#This Row],[مبلغ خروج]]</f>
        <v>-279035607</v>
      </c>
      <c r="J64" s="67"/>
    </row>
    <row r="65" spans="2:10" ht="18.75">
      <c r="B65" s="19"/>
      <c r="C65" s="19"/>
      <c r="D65" s="89"/>
      <c r="G65" s="20"/>
      <c r="H65" s="62"/>
      <c r="I65" s="20">
        <f>I64+Table143[[#This Row],[مبلغ ورود]]-Table143[[#This Row],[مبلغ خروج]]</f>
        <v>-279035607</v>
      </c>
      <c r="J65" s="90"/>
    </row>
    <row r="66" spans="2:10" ht="18.75">
      <c r="B66" s="19"/>
      <c r="C66" s="19"/>
      <c r="D66" s="89"/>
      <c r="G66" s="20"/>
      <c r="H66" s="20"/>
      <c r="I66" s="20">
        <f>I65+Table143[[#This Row],[مبلغ ورود]]-Table143[[#This Row],[مبلغ خروج]]</f>
        <v>-279035607</v>
      </c>
      <c r="J66" s="90"/>
    </row>
    <row r="67" spans="2:10" ht="18.75">
      <c r="B67" s="19"/>
      <c r="C67" s="19"/>
      <c r="D67" s="89"/>
      <c r="G67" s="20"/>
      <c r="H67" s="20"/>
      <c r="I67" s="20">
        <f>I66+Table143[[#This Row],[مبلغ ورود]]-Table143[[#This Row],[مبلغ خروج]]</f>
        <v>-279035607</v>
      </c>
      <c r="J67" s="90"/>
    </row>
    <row r="68" spans="2:10" ht="18.75">
      <c r="B68" s="19"/>
      <c r="C68" s="19"/>
      <c r="D68" s="89"/>
      <c r="G68" s="20"/>
      <c r="H68" s="20"/>
      <c r="I68" s="20">
        <f>I67+Table143[[#This Row],[مبلغ ورود]]-Table143[[#This Row],[مبلغ خروج]]</f>
        <v>-279035607</v>
      </c>
      <c r="J68" s="90"/>
    </row>
    <row r="69" spans="2:10" ht="18.75">
      <c r="B69" s="19"/>
      <c r="C69" s="19"/>
      <c r="D69" s="89"/>
      <c r="G69" s="20"/>
      <c r="H69" s="20"/>
      <c r="I69" s="20">
        <f>I68+Table143[[#This Row],[مبلغ ورود]]-Table143[[#This Row],[مبلغ خروج]]</f>
        <v>-279035607</v>
      </c>
      <c r="J69" s="90"/>
    </row>
    <row r="70" spans="2:10" ht="18.75">
      <c r="B70" s="19"/>
      <c r="C70" s="19"/>
      <c r="D70" s="89"/>
      <c r="G70" s="20"/>
      <c r="H70" s="20"/>
      <c r="I70" s="20">
        <f t="shared" ref="I70:I101" si="0">I69+G70-H70</f>
        <v>-279035607</v>
      </c>
      <c r="J70" s="93"/>
    </row>
    <row r="71" spans="2:10" ht="18.75">
      <c r="B71" s="19"/>
      <c r="C71" s="19"/>
      <c r="D71" s="92"/>
      <c r="G71" s="20"/>
      <c r="H71" s="20"/>
      <c r="I71" s="20">
        <f t="shared" si="0"/>
        <v>-279035607</v>
      </c>
      <c r="J71" s="93"/>
    </row>
    <row r="72" spans="2:10" ht="18.75">
      <c r="B72" s="19"/>
      <c r="C72" s="19"/>
      <c r="D72" s="92"/>
      <c r="G72" s="20"/>
      <c r="H72" s="20"/>
      <c r="I72" s="20">
        <f t="shared" si="0"/>
        <v>-279035607</v>
      </c>
      <c r="J72" s="93"/>
    </row>
    <row r="73" spans="2:10" ht="18.75">
      <c r="B73" s="19"/>
      <c r="C73" s="19"/>
      <c r="D73" s="92"/>
      <c r="G73" s="20"/>
      <c r="H73" s="20"/>
      <c r="I73" s="20">
        <f t="shared" si="0"/>
        <v>-279035607</v>
      </c>
      <c r="J73" s="93"/>
    </row>
    <row r="74" spans="2:10" ht="18.75">
      <c r="B74" s="19"/>
      <c r="C74" s="19"/>
      <c r="D74" s="92"/>
      <c r="G74" s="20"/>
      <c r="H74" s="20"/>
      <c r="I74" s="20">
        <f t="shared" si="0"/>
        <v>-279035607</v>
      </c>
      <c r="J74" s="93"/>
    </row>
    <row r="75" spans="2:10" ht="18.75">
      <c r="B75" s="19"/>
      <c r="C75" s="19"/>
      <c r="D75" s="92"/>
      <c r="G75" s="20"/>
      <c r="H75" s="20"/>
      <c r="I75" s="20">
        <f t="shared" si="0"/>
        <v>-279035607</v>
      </c>
      <c r="J75" s="93"/>
    </row>
    <row r="76" spans="2:10" ht="18.75">
      <c r="B76" s="19"/>
      <c r="C76" s="19"/>
      <c r="D76" s="92"/>
      <c r="G76" s="20"/>
      <c r="H76" s="20"/>
      <c r="I76" s="20">
        <f t="shared" si="0"/>
        <v>-279035607</v>
      </c>
      <c r="J76" s="93"/>
    </row>
    <row r="77" spans="2:10" ht="18.75">
      <c r="B77" s="19"/>
      <c r="C77" s="19"/>
      <c r="D77" s="92"/>
      <c r="G77" s="20"/>
      <c r="H77" s="20"/>
      <c r="I77" s="20">
        <f t="shared" si="0"/>
        <v>-279035607</v>
      </c>
      <c r="J77" s="93"/>
    </row>
    <row r="78" spans="2:10" ht="18.75">
      <c r="B78" s="19"/>
      <c r="C78" s="19"/>
      <c r="D78" s="92"/>
      <c r="G78" s="20"/>
      <c r="H78" s="20"/>
      <c r="I78" s="20">
        <f t="shared" si="0"/>
        <v>-279035607</v>
      </c>
      <c r="J78" s="67"/>
    </row>
    <row r="79" spans="2:10" ht="18.75">
      <c r="B79" s="19"/>
      <c r="C79" s="19"/>
      <c r="D79" s="92"/>
      <c r="G79" s="20"/>
      <c r="H79" s="94"/>
      <c r="I79" s="20">
        <f t="shared" si="0"/>
        <v>-279035607</v>
      </c>
      <c r="J79" s="93"/>
    </row>
    <row r="80" spans="2:10" ht="18.75">
      <c r="B80" s="19"/>
      <c r="C80" s="19"/>
      <c r="D80" s="92"/>
      <c r="G80" s="20"/>
      <c r="H80" s="20"/>
      <c r="I80" s="20">
        <f t="shared" si="0"/>
        <v>-279035607</v>
      </c>
      <c r="J80" s="93"/>
    </row>
    <row r="81" spans="2:10" ht="18.75">
      <c r="B81" s="19"/>
      <c r="C81" s="19"/>
      <c r="D81" s="92"/>
      <c r="G81" s="20"/>
      <c r="H81" s="20"/>
      <c r="I81" s="20">
        <f t="shared" si="0"/>
        <v>-279035607</v>
      </c>
      <c r="J81" s="67"/>
    </row>
    <row r="82" spans="2:10" ht="18.75">
      <c r="B82" s="19"/>
      <c r="C82" s="19"/>
      <c r="D82" s="92"/>
      <c r="G82" s="20"/>
      <c r="H82" s="20"/>
      <c r="I82" s="20">
        <f t="shared" si="0"/>
        <v>-279035607</v>
      </c>
      <c r="J82" s="67"/>
    </row>
    <row r="83" spans="2:10" ht="18.75">
      <c r="B83" s="19"/>
      <c r="C83" s="19"/>
      <c r="D83" s="92"/>
      <c r="G83" s="20"/>
      <c r="H83" s="20"/>
      <c r="I83" s="20">
        <f t="shared" si="0"/>
        <v>-279035607</v>
      </c>
      <c r="J83" s="95"/>
    </row>
    <row r="84" spans="2:10" ht="18.75">
      <c r="B84" s="19"/>
      <c r="C84" s="19"/>
      <c r="D84" s="92"/>
      <c r="G84" s="20"/>
      <c r="H84" s="20"/>
      <c r="I84" s="20">
        <f t="shared" si="0"/>
        <v>-279035607</v>
      </c>
      <c r="J84" s="95"/>
    </row>
    <row r="85" spans="2:10" ht="18.75">
      <c r="B85" s="19"/>
      <c r="C85" s="19"/>
      <c r="D85" s="92"/>
      <c r="G85" s="20"/>
      <c r="H85" s="20"/>
      <c r="I85" s="20">
        <f t="shared" si="0"/>
        <v>-279035607</v>
      </c>
      <c r="J85" s="95"/>
    </row>
    <row r="86" spans="2:10" ht="18.75">
      <c r="B86" s="19"/>
      <c r="C86" s="19"/>
      <c r="D86" s="92"/>
      <c r="G86" s="20"/>
      <c r="H86" s="20"/>
      <c r="I86" s="20">
        <f t="shared" si="0"/>
        <v>-279035607</v>
      </c>
      <c r="J86" s="95"/>
    </row>
    <row r="87" spans="2:10" ht="18.75">
      <c r="B87" s="19"/>
      <c r="C87" s="19"/>
      <c r="D87" s="92"/>
      <c r="G87" s="20"/>
      <c r="H87" s="20"/>
      <c r="I87" s="20">
        <f t="shared" si="0"/>
        <v>-279035607</v>
      </c>
      <c r="J87" s="95"/>
    </row>
    <row r="88" spans="2:10" ht="18.75">
      <c r="B88" s="19"/>
      <c r="C88" s="19"/>
      <c r="D88" s="92"/>
      <c r="G88" s="20"/>
      <c r="H88" s="20"/>
      <c r="I88" s="20">
        <f t="shared" si="0"/>
        <v>-279035607</v>
      </c>
      <c r="J88" s="95"/>
    </row>
    <row r="89" spans="2:10" ht="18.75">
      <c r="B89" s="19"/>
      <c r="C89" s="19"/>
      <c r="D89" s="92"/>
      <c r="G89" s="96"/>
      <c r="H89" s="20"/>
      <c r="I89" s="20">
        <f t="shared" si="0"/>
        <v>-279035607</v>
      </c>
      <c r="J89" s="67"/>
    </row>
    <row r="90" spans="2:10" ht="18.75">
      <c r="B90" s="19"/>
      <c r="C90" s="19"/>
      <c r="D90" s="92"/>
      <c r="G90" s="20"/>
      <c r="H90" s="20"/>
      <c r="I90" s="20">
        <f t="shared" si="0"/>
        <v>-279035607</v>
      </c>
      <c r="J90" s="67"/>
    </row>
    <row r="91" spans="2:10" ht="18.75">
      <c r="B91" s="19"/>
      <c r="C91" s="19"/>
      <c r="D91" s="92"/>
      <c r="G91" s="20"/>
      <c r="H91" s="20"/>
      <c r="I91" s="20">
        <f t="shared" si="0"/>
        <v>-279035607</v>
      </c>
      <c r="J91" s="67"/>
    </row>
    <row r="92" spans="2:10" ht="18.75">
      <c r="B92" s="19"/>
      <c r="C92" s="19"/>
      <c r="G92" s="20"/>
      <c r="H92" s="20"/>
      <c r="I92" s="20">
        <f t="shared" si="0"/>
        <v>-279035607</v>
      </c>
      <c r="J92" s="67"/>
    </row>
    <row r="93" spans="2:10" ht="18.75">
      <c r="B93" s="19"/>
      <c r="C93" s="19"/>
      <c r="G93" s="20"/>
      <c r="H93" s="20"/>
      <c r="I93" s="20">
        <f t="shared" si="0"/>
        <v>-279035607</v>
      </c>
      <c r="J93" s="67"/>
    </row>
    <row r="94" spans="2:10" ht="18.75">
      <c r="B94" s="19"/>
      <c r="C94" s="19"/>
      <c r="G94" s="20"/>
      <c r="H94" s="20"/>
      <c r="I94" s="20">
        <f t="shared" si="0"/>
        <v>-279035607</v>
      </c>
      <c r="J94" s="67"/>
    </row>
    <row r="95" spans="2:10" ht="18.75">
      <c r="B95" s="19"/>
      <c r="C95" s="19"/>
      <c r="G95" s="20"/>
      <c r="H95" s="20"/>
      <c r="I95" s="20">
        <f t="shared" si="0"/>
        <v>-279035607</v>
      </c>
      <c r="J95" s="67"/>
    </row>
    <row r="96" spans="2:10" ht="18.75">
      <c r="B96" s="19"/>
      <c r="C96" s="19"/>
      <c r="G96" s="20"/>
      <c r="H96" s="20"/>
      <c r="I96" s="20">
        <f t="shared" si="0"/>
        <v>-279035607</v>
      </c>
      <c r="J96" s="67"/>
    </row>
    <row r="97" spans="2:10" ht="18.75">
      <c r="B97" s="19"/>
      <c r="C97" s="19"/>
      <c r="G97" s="20"/>
      <c r="H97" s="20"/>
      <c r="I97" s="20">
        <f t="shared" si="0"/>
        <v>-279035607</v>
      </c>
      <c r="J97" s="67"/>
    </row>
    <row r="98" spans="2:10" ht="18.75">
      <c r="B98" s="19"/>
      <c r="C98" s="19"/>
      <c r="G98" s="20"/>
      <c r="H98" s="20"/>
      <c r="I98" s="20">
        <f t="shared" si="0"/>
        <v>-279035607</v>
      </c>
      <c r="J98" s="67"/>
    </row>
    <row r="99" spans="2:10" ht="18.75">
      <c r="B99" s="19"/>
      <c r="C99" s="19"/>
      <c r="G99" s="20"/>
      <c r="H99" s="20"/>
      <c r="I99" s="20">
        <f t="shared" si="0"/>
        <v>-279035607</v>
      </c>
      <c r="J99" s="67"/>
    </row>
    <row r="100" spans="2:10" ht="21">
      <c r="B100" s="60"/>
      <c r="C100" s="19"/>
      <c r="D100" s="61"/>
      <c r="E100" s="98"/>
      <c r="F100" s="86"/>
      <c r="G100" s="20"/>
      <c r="H100" s="62"/>
      <c r="I100" s="20">
        <f t="shared" si="0"/>
        <v>-279035607</v>
      </c>
      <c r="J100" s="67"/>
    </row>
    <row r="101" spans="2:10" ht="18.75">
      <c r="C101" s="19"/>
      <c r="D101" s="57"/>
      <c r="E101" s="99"/>
      <c r="F101" s="86"/>
      <c r="G101" s="20"/>
      <c r="H101" s="20"/>
      <c r="I101" s="20">
        <f t="shared" si="0"/>
        <v>-279035607</v>
      </c>
      <c r="J101" s="67"/>
    </row>
    <row r="102" spans="2:10" ht="18.75">
      <c r="C102" s="19"/>
      <c r="D102" s="54"/>
      <c r="E102" s="100"/>
      <c r="G102" s="20"/>
      <c r="H102" s="20"/>
      <c r="I102" s="20">
        <f>I101+Table143[[#This Row],[مبلغ ورود]]-Table143[[#This Row],[مبلغ خروج]]</f>
        <v>-279035607</v>
      </c>
      <c r="J102" s="67"/>
    </row>
    <row r="103" spans="2:10" ht="18.75">
      <c r="C103" s="19"/>
      <c r="G103" s="20"/>
      <c r="H103" s="20"/>
      <c r="I103" s="20">
        <f>I102+Table143[[#This Row],[مبلغ ورود]]-Table143[[#This Row],[مبلغ خروج]]</f>
        <v>-279035607</v>
      </c>
      <c r="J103" s="67"/>
    </row>
    <row r="104" spans="2:10" ht="18.75">
      <c r="C104" s="19"/>
      <c r="D104" s="51"/>
      <c r="E104" s="101"/>
      <c r="F104" s="50"/>
      <c r="G104" s="20"/>
      <c r="H104" s="20"/>
      <c r="I104" s="20">
        <f t="shared" ref="I104" si="1">I103+G104-H104</f>
        <v>-279035607</v>
      </c>
      <c r="J104" s="67"/>
    </row>
    <row r="105" spans="2:10" ht="38.25" customHeight="1">
      <c r="G105" s="45">
        <f>SUBTOTAL(109,Table143[مبلغ ورود])</f>
        <v>9393484969</v>
      </c>
      <c r="H105" s="45">
        <f>SUBTOTAL(109,Table143[مبلغ خروج])</f>
        <v>9672520576</v>
      </c>
      <c r="I105" s="45">
        <f>Table143[[#Totals],[مبلغ ورود]]-Table143[[#Totals],[مبلغ خروج]]</f>
        <v>-279035607</v>
      </c>
      <c r="J105" s="66"/>
    </row>
  </sheetData>
  <mergeCells count="2">
    <mergeCell ref="A1:I1"/>
    <mergeCell ref="A2:I2"/>
  </mergeCells>
  <phoneticPr fontId="17" type="noConversion"/>
  <printOptions horizontalCentered="1"/>
  <pageMargins left="0.70866141732283472" right="0.70866141732283472" top="0.74803149606299213" bottom="1.5354330708661419" header="0.31496062992125984" footer="1.1023622047244095"/>
  <pageSetup paperSize="9" scale="29" orientation="landscape" r:id="rId1"/>
  <headerFooter>
    <oddFooter>&amp;L&amp;P of&amp;N&amp;C&amp;"B Nazanin,Bold"&amp;10میکاییل نوروزی&amp;R&amp;D</oddFooter>
  </headerFooter>
  <rowBreaks count="1" manualBreakCount="1">
    <brk id="56" max="8"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23"/>
  <sheetViews>
    <sheetView rightToLeft="1" view="pageBreakPreview" zoomScaleNormal="100" zoomScaleSheetLayoutView="100" workbookViewId="0">
      <selection activeCell="E11" sqref="E11:G11"/>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7" width="14.42578125" style="1" customWidth="1"/>
    <col min="8"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36" t="str">
        <f>'1401'!B30</f>
        <v>1401/07/26</v>
      </c>
      <c r="G4" s="136"/>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f>'1401'!H30</f>
        <v>390778983</v>
      </c>
      <c r="C9" s="23" t="s">
        <v>11</v>
      </c>
      <c r="D9" s="24" t="s">
        <v>30</v>
      </c>
      <c r="E9" s="128" t="str">
        <f>[1]!abh(B9)</f>
        <v>سیصد و نود میلیون و هفتصد و هفتاد و هشت هزار و نهصد و هشتاد و سه</v>
      </c>
      <c r="F9" s="129"/>
      <c r="G9" s="25" t="s">
        <v>11</v>
      </c>
    </row>
    <row r="10" spans="1:7" s="37" customFormat="1" ht="77.25" customHeight="1">
      <c r="A10" s="36" t="s">
        <v>12</v>
      </c>
      <c r="B10" s="142" t="str">
        <f>'1401'!F30</f>
        <v>پرداخت حقوق و دستمزد شهریور ماه 1401 کارکنان شرکت پالایش میعانات گازی آدیش جنوبی طبق لیست پیوست (پرسنل گمرک)</v>
      </c>
      <c r="C10" s="142"/>
      <c r="D10" s="142"/>
      <c r="E10" s="142"/>
      <c r="F10" s="142"/>
      <c r="G10" s="143"/>
    </row>
    <row r="11" spans="1:7" ht="33" customHeight="1" thickBot="1">
      <c r="A11" s="30" t="s">
        <v>13</v>
      </c>
      <c r="B11" s="35"/>
      <c r="C11" s="31"/>
      <c r="D11" s="32" t="s">
        <v>14</v>
      </c>
      <c r="E11" s="146" t="str">
        <f>'1401'!E30</f>
        <v>5000000179211377</v>
      </c>
      <c r="F11" s="146"/>
      <c r="G11" s="147"/>
    </row>
    <row r="12" spans="1:7" ht="3.75" customHeight="1" thickBot="1"/>
    <row r="13" spans="1:7" ht="32.25" thickBot="1">
      <c r="A13" s="33" t="s">
        <v>15</v>
      </c>
      <c r="B13" s="38" t="str">
        <f>'1401'!C30</f>
        <v>323196</v>
      </c>
      <c r="C13" s="34" t="s">
        <v>16</v>
      </c>
      <c r="D13" s="91" t="str">
        <f>'1401'!B30</f>
        <v>1401/07/26</v>
      </c>
      <c r="E13" s="34" t="s">
        <v>17</v>
      </c>
      <c r="F13" s="144" t="s">
        <v>28</v>
      </c>
      <c r="G13" s="145"/>
    </row>
    <row r="14" spans="1:7" ht="3.75" customHeight="1" thickBot="1">
      <c r="B14" s="85"/>
    </row>
    <row r="15" spans="1:7" ht="19.5">
      <c r="A15" s="53" t="s">
        <v>20</v>
      </c>
      <c r="B15" s="10" t="s">
        <v>268</v>
      </c>
      <c r="C15" s="9"/>
      <c r="D15" s="10" t="s">
        <v>21</v>
      </c>
      <c r="E15" s="10"/>
      <c r="F15" s="121" t="s">
        <v>22</v>
      </c>
      <c r="G15" s="122"/>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A7:G7"/>
    <mergeCell ref="A8:G8"/>
    <mergeCell ref="B10:G10"/>
    <mergeCell ref="F13:G13"/>
    <mergeCell ref="E11:G11"/>
    <mergeCell ref="A1:G1"/>
    <mergeCell ref="A2:G2"/>
    <mergeCell ref="A3:G3"/>
    <mergeCell ref="F4:G4"/>
    <mergeCell ref="F5:G5"/>
    <mergeCell ref="F15:G15"/>
    <mergeCell ref="F16:G16"/>
    <mergeCell ref="F17:G17"/>
    <mergeCell ref="F19:G19"/>
    <mergeCell ref="E9:F9"/>
  </mergeCells>
  <printOptions horizontalCentered="1"/>
  <pageMargins left="0.51181102362204722" right="0.51181102362204722" top="0.59055118110236227" bottom="0.59055118110236227" header="0.31496062992125984" footer="0.31496062992125984"/>
  <pageSetup paperSize="11"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G23"/>
  <sheetViews>
    <sheetView rightToLeft="1" view="pageBreakPreview" zoomScale="106" zoomScaleNormal="100" zoomScaleSheetLayoutView="106" workbookViewId="0">
      <selection activeCell="B10" sqref="B10:G10"/>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7" width="10.85546875" style="1" customWidth="1"/>
    <col min="8"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4" t="str">
        <f>'1400'!B263</f>
        <v>1400/06/30</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f>'1400'!H263</f>
        <v>70664000</v>
      </c>
      <c r="C9" s="23" t="s">
        <v>11</v>
      </c>
      <c r="D9" s="24" t="s">
        <v>30</v>
      </c>
      <c r="E9" s="148" t="s">
        <v>889</v>
      </c>
      <c r="F9" s="149"/>
      <c r="G9" s="25" t="s">
        <v>11</v>
      </c>
    </row>
    <row r="10" spans="1:7" s="37" customFormat="1" ht="110.25" customHeight="1">
      <c r="A10" s="36" t="s">
        <v>12</v>
      </c>
      <c r="B10" s="150" t="str">
        <f>'1400'!F265</f>
        <v xml:space="preserve">واریز به حساب  179658075 نزد بانک ملت بنام شرکت ترابر بار شرق بابت اعلامیه ورود بارنامه ش 006029 مربوط به هزینه ترخیص محموله Spray  قرارداد Deluge Valve </v>
      </c>
      <c r="C10" s="150"/>
      <c r="D10" s="150"/>
      <c r="E10" s="150"/>
      <c r="F10" s="150"/>
      <c r="G10" s="151"/>
    </row>
    <row r="11" spans="1:7" ht="33" customHeight="1" thickBot="1">
      <c r="A11" s="30" t="s">
        <v>13</v>
      </c>
      <c r="B11" s="35" t="str">
        <f>'1399'!D6</f>
        <v>بانک ملت</v>
      </c>
      <c r="C11" s="31"/>
      <c r="D11" s="32" t="s">
        <v>14</v>
      </c>
      <c r="E11" s="31"/>
      <c r="F11" s="152" t="str">
        <f>'1400'!E263</f>
        <v>9083000070001694</v>
      </c>
      <c r="G11" s="153"/>
    </row>
    <row r="12" spans="1:7" ht="3.75" customHeight="1" thickBot="1"/>
    <row r="13" spans="1:7" ht="32.25" thickBot="1">
      <c r="A13" s="33" t="s">
        <v>15</v>
      </c>
      <c r="B13" s="38" t="str">
        <f>'1400'!C263</f>
        <v>631309</v>
      </c>
      <c r="C13" s="34" t="s">
        <v>16</v>
      </c>
      <c r="D13" s="87" t="str">
        <f>'1400'!B263</f>
        <v>1400/06/30</v>
      </c>
      <c r="E13" s="34" t="s">
        <v>17</v>
      </c>
      <c r="F13" s="144" t="s">
        <v>28</v>
      </c>
      <c r="G13" s="145"/>
    </row>
    <row r="14" spans="1:7" ht="3.75" customHeight="1" thickBot="1"/>
    <row r="15" spans="1:7" ht="19.5">
      <c r="A15" s="53" t="s">
        <v>20</v>
      </c>
      <c r="B15" s="10" t="s">
        <v>268</v>
      </c>
      <c r="C15" s="9"/>
      <c r="D15" s="10" t="s">
        <v>21</v>
      </c>
      <c r="E15" s="10"/>
      <c r="F15" s="121" t="s">
        <v>22</v>
      </c>
      <c r="G15" s="122"/>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G23"/>
  <sheetViews>
    <sheetView rightToLeft="1" view="pageBreakPreview" zoomScale="106" zoomScaleNormal="100" zoomScaleSheetLayoutView="106" workbookViewId="0">
      <selection activeCell="B10" sqref="B10:G10"/>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5" t="str">
        <f>'1399'!B124</f>
        <v>1399/09/26</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f>'1399'!G124</f>
        <v>33110838</v>
      </c>
      <c r="C9" s="23" t="s">
        <v>11</v>
      </c>
      <c r="D9" s="24" t="s">
        <v>30</v>
      </c>
      <c r="E9" s="148" t="str">
        <f>[2]!abh(B9)</f>
        <v>سی و سه میلیون و یکصد و ده هزار و هشتصد و سی و هشت</v>
      </c>
      <c r="F9" s="149"/>
      <c r="G9" s="25" t="s">
        <v>11</v>
      </c>
    </row>
    <row r="10" spans="1:7" ht="77.25" customHeight="1">
      <c r="A10" s="21" t="s">
        <v>12</v>
      </c>
      <c r="B10" s="156" t="str">
        <f>'1400'!F137</f>
        <v>حواله ساتنا به حساب IR 85 0180 0000 0000 3308 5655 47 نزد بانک تجارت بابت آقای محمدرسول اسماعیلی به کد ملی 0060912707 بابت تسویه ف 2215-2216 خرید میز و فایل و ... از مبلمان اداری امیران</v>
      </c>
      <c r="C10" s="156"/>
      <c r="D10" s="156"/>
      <c r="E10" s="156"/>
      <c r="F10" s="156"/>
      <c r="G10" s="157"/>
    </row>
    <row r="11" spans="1:7" ht="33" customHeight="1" thickBot="1">
      <c r="A11" s="30" t="s">
        <v>13</v>
      </c>
      <c r="B11" s="35"/>
      <c r="C11" s="31"/>
      <c r="D11" s="32" t="s">
        <v>14</v>
      </c>
      <c r="E11" s="31"/>
      <c r="F11" s="158"/>
      <c r="G11" s="153"/>
    </row>
    <row r="12" spans="1:7" ht="3.75" customHeight="1" thickBot="1"/>
    <row r="13" spans="1:7" ht="32.25" thickBot="1">
      <c r="A13" s="33" t="s">
        <v>15</v>
      </c>
      <c r="B13" s="38" t="str">
        <f>'1399'!C124</f>
        <v>696687</v>
      </c>
      <c r="C13" s="34" t="s">
        <v>16</v>
      </c>
      <c r="D13" s="87" t="str">
        <f>'1400'!B265</f>
        <v>1400/07/04</v>
      </c>
      <c r="E13" s="34" t="s">
        <v>17</v>
      </c>
      <c r="F13" s="144" t="s">
        <v>28</v>
      </c>
      <c r="G13" s="145"/>
    </row>
    <row r="14" spans="1:7" ht="3.75" customHeight="1" thickBot="1"/>
    <row r="15" spans="1:7" ht="19.5">
      <c r="A15" s="53" t="s">
        <v>20</v>
      </c>
      <c r="B15" s="10" t="s">
        <v>268</v>
      </c>
      <c r="C15" s="9"/>
      <c r="D15" s="10" t="s">
        <v>21</v>
      </c>
      <c r="E15" s="10"/>
      <c r="F15" s="121" t="s">
        <v>22</v>
      </c>
      <c r="G15" s="122"/>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23"/>
  <sheetViews>
    <sheetView rightToLeft="1" view="pageBreakPreview" zoomScale="106" zoomScaleNormal="100" zoomScaleSheetLayoutView="106" workbookViewId="0">
      <selection activeCell="B10" sqref="B10:G10"/>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5" t="str">
        <f>'1399'!B125</f>
        <v>1399/09/26</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f>'1399'!G125</f>
        <v>172728988</v>
      </c>
      <c r="C9" s="23" t="s">
        <v>11</v>
      </c>
      <c r="D9" s="24" t="s">
        <v>30</v>
      </c>
      <c r="E9" s="148" t="str">
        <f>[2]!abh(B9)</f>
        <v>یکصد و هفتاد و دو میلیون و هفتصد و بیست و هشت هزار و نهصد و هشتاد و هشت</v>
      </c>
      <c r="F9" s="149"/>
      <c r="G9" s="25" t="s">
        <v>11</v>
      </c>
    </row>
    <row r="10" spans="1:7" ht="77.25" customHeight="1">
      <c r="A10" s="21" t="s">
        <v>12</v>
      </c>
      <c r="B10" s="156" t="str">
        <f>'1399'!E125</f>
        <v>واریز  به حساب متمرکز اداره کل امور مالی کد 8150  جهت پرداخت حق بیمه آبان ماه 1399 کارکنان  به نام سازمان تامین اجتماعی شعبه بیست و پنج تهران (قبض025099092990301)</v>
      </c>
      <c r="C10" s="156"/>
      <c r="D10" s="156"/>
      <c r="E10" s="156"/>
      <c r="F10" s="156"/>
      <c r="G10" s="157"/>
    </row>
    <row r="11" spans="1:7" ht="33" customHeight="1" thickBot="1">
      <c r="A11" s="30" t="s">
        <v>13</v>
      </c>
      <c r="B11" s="35" t="str">
        <f>'1399'!D16</f>
        <v>بانک ملت</v>
      </c>
      <c r="C11" s="31"/>
      <c r="D11" s="32" t="s">
        <v>14</v>
      </c>
      <c r="E11" s="31"/>
      <c r="F11" s="158"/>
      <c r="G11" s="153"/>
    </row>
    <row r="12" spans="1:7" ht="3.75" customHeight="1" thickBot="1"/>
    <row r="13" spans="1:7" ht="32.25" thickBot="1">
      <c r="A13" s="33" t="s">
        <v>15</v>
      </c>
      <c r="B13" s="38" t="str">
        <f>'1399'!C125</f>
        <v>696688</v>
      </c>
      <c r="C13" s="34" t="s">
        <v>16</v>
      </c>
      <c r="D13" s="39" t="str">
        <f>'1399'!B125</f>
        <v>1399/09/26</v>
      </c>
      <c r="E13" s="34" t="s">
        <v>17</v>
      </c>
      <c r="F13" s="144" t="s">
        <v>28</v>
      </c>
      <c r="G13" s="145"/>
    </row>
    <row r="14" spans="1:7" ht="3.75" customHeight="1" thickBot="1"/>
    <row r="15" spans="1:7" ht="19.5">
      <c r="A15" s="53" t="s">
        <v>20</v>
      </c>
      <c r="B15" s="10" t="s">
        <v>268</v>
      </c>
      <c r="C15" s="9"/>
      <c r="D15" s="10" t="s">
        <v>21</v>
      </c>
      <c r="E15" s="10"/>
      <c r="F15" s="121" t="s">
        <v>22</v>
      </c>
      <c r="G15" s="122"/>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G23"/>
  <sheetViews>
    <sheetView rightToLeft="1" view="pageBreakPreview" zoomScale="106" zoomScaleNormal="100" zoomScaleSheetLayoutView="106" workbookViewId="0">
      <selection activeCell="D14" sqref="D14"/>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5" t="str">
        <f>'1399'!B126</f>
        <v>1399/09/26</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f>'1399'!G126</f>
        <v>85048000</v>
      </c>
      <c r="C9" s="23" t="s">
        <v>11</v>
      </c>
      <c r="D9" s="24" t="s">
        <v>30</v>
      </c>
      <c r="E9" s="148" t="str">
        <f>[2]!abh(B9)</f>
        <v>هشتاد و پنج میلیون و چهل و هشت هزار</v>
      </c>
      <c r="F9" s="149"/>
      <c r="G9" s="25" t="s">
        <v>11</v>
      </c>
    </row>
    <row r="10" spans="1:7" ht="88.5" customHeight="1">
      <c r="A10" s="21" t="s">
        <v>12</v>
      </c>
      <c r="B10" s="159" t="str">
        <f>'1399'!E126</f>
        <v>واریز به شماره حساب 2110100714007 نزد بانک ملی شعبه میرداماد کد 64 بنام مالیات حقوق بخش خصوصی شمال تهران جهت پرداخت مالیات حقوق سال 1397در وجه سازمان امور مالیاتی، واحد 401623(قبض9014672310)</v>
      </c>
      <c r="C10" s="159"/>
      <c r="D10" s="159"/>
      <c r="E10" s="159"/>
      <c r="F10" s="159"/>
      <c r="G10" s="160"/>
    </row>
    <row r="11" spans="1:7" ht="33" customHeight="1" thickBot="1">
      <c r="A11" s="30" t="s">
        <v>13</v>
      </c>
      <c r="B11" s="35" t="str">
        <f>'1399'!D17</f>
        <v>بانک ملت</v>
      </c>
      <c r="C11" s="31"/>
      <c r="D11" s="32" t="s">
        <v>14</v>
      </c>
      <c r="E11" s="31"/>
      <c r="F11" s="158"/>
      <c r="G11" s="153"/>
    </row>
    <row r="12" spans="1:7" ht="3.75" customHeight="1" thickBot="1"/>
    <row r="13" spans="1:7" ht="32.25" thickBot="1">
      <c r="A13" s="33" t="s">
        <v>15</v>
      </c>
      <c r="B13" s="38" t="str">
        <f>'1399'!C126</f>
        <v>696689</v>
      </c>
      <c r="C13" s="34" t="s">
        <v>16</v>
      </c>
      <c r="D13" s="87" t="str">
        <f>'1400'!B265</f>
        <v>1400/07/04</v>
      </c>
      <c r="E13" s="34" t="s">
        <v>17</v>
      </c>
      <c r="F13" s="144" t="s">
        <v>28</v>
      </c>
      <c r="G13" s="145"/>
    </row>
    <row r="14" spans="1:7" ht="3.75" customHeight="1" thickBot="1"/>
    <row r="15" spans="1:7" ht="19.5">
      <c r="A15" s="53" t="s">
        <v>20</v>
      </c>
      <c r="B15" s="10" t="s">
        <v>268</v>
      </c>
      <c r="C15" s="9"/>
      <c r="D15" s="10" t="s">
        <v>21</v>
      </c>
      <c r="E15" s="10"/>
      <c r="F15" s="121" t="s">
        <v>22</v>
      </c>
      <c r="G15" s="122"/>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G23"/>
  <sheetViews>
    <sheetView rightToLeft="1" view="pageBreakPreview" zoomScale="106" zoomScaleNormal="100" zoomScaleSheetLayoutView="106" workbookViewId="0">
      <selection activeCell="B10" sqref="B10:G10"/>
    </sheetView>
  </sheetViews>
  <sheetFormatPr defaultColWidth="9.140625" defaultRowHeight="18"/>
  <cols>
    <col min="1" max="1" width="11.85546875" style="1" customWidth="1"/>
    <col min="2" max="2" width="26.7109375" style="1" customWidth="1"/>
    <col min="3" max="3" width="8.85546875" style="1" customWidth="1"/>
    <col min="4" max="4" width="19.5703125" style="1" bestFit="1" customWidth="1"/>
    <col min="5" max="5" width="15.7109375" style="1" customWidth="1"/>
    <col min="6" max="6" width="24" style="1" customWidth="1"/>
    <col min="7" max="16384" width="9.140625" style="1"/>
  </cols>
  <sheetData>
    <row r="1" spans="1:7" ht="18.75">
      <c r="A1" s="130" t="s">
        <v>8</v>
      </c>
      <c r="B1" s="131"/>
      <c r="C1" s="131"/>
      <c r="D1" s="131"/>
      <c r="E1" s="131"/>
      <c r="F1" s="131"/>
      <c r="G1" s="132"/>
    </row>
    <row r="2" spans="1:7" ht="18.75">
      <c r="A2" s="133" t="s">
        <v>32</v>
      </c>
      <c r="B2" s="134"/>
      <c r="C2" s="134"/>
      <c r="D2" s="134"/>
      <c r="E2" s="134"/>
      <c r="F2" s="134"/>
      <c r="G2" s="135"/>
    </row>
    <row r="3" spans="1:7" ht="15.75" customHeight="1">
      <c r="A3" s="133"/>
      <c r="B3" s="134"/>
      <c r="C3" s="134"/>
      <c r="D3" s="134"/>
      <c r="E3" s="134"/>
      <c r="F3" s="134"/>
      <c r="G3" s="135"/>
    </row>
    <row r="4" spans="1:7" ht="13.5" customHeight="1">
      <c r="A4" s="14"/>
      <c r="B4" s="15"/>
      <c r="C4" s="15"/>
      <c r="D4" s="15"/>
      <c r="E4" s="16" t="s">
        <v>9</v>
      </c>
      <c r="F4" s="155" t="str">
        <f>'1399'!B112</f>
        <v>1399/08/24</v>
      </c>
      <c r="G4" s="155"/>
    </row>
    <row r="5" spans="1:7" ht="18.75">
      <c r="A5" s="14"/>
      <c r="B5" s="15"/>
      <c r="C5" s="15"/>
      <c r="D5" s="15"/>
      <c r="E5" s="16" t="s">
        <v>10</v>
      </c>
      <c r="F5" s="137"/>
      <c r="G5" s="137"/>
    </row>
    <row r="6" spans="1:7" ht="19.5" thickBot="1">
      <c r="A6" s="27" t="s">
        <v>31</v>
      </c>
      <c r="B6" s="28"/>
      <c r="C6" s="28"/>
      <c r="D6" s="28"/>
      <c r="E6" s="28"/>
      <c r="F6" s="28"/>
      <c r="G6" s="29"/>
    </row>
    <row r="7" spans="1:7" ht="3.75" customHeight="1" thickBot="1">
      <c r="A7" s="138"/>
      <c r="B7" s="138"/>
      <c r="C7" s="138"/>
      <c r="D7" s="138"/>
      <c r="E7" s="138"/>
      <c r="F7" s="138"/>
      <c r="G7" s="138"/>
    </row>
    <row r="8" spans="1:7" ht="6" customHeight="1" thickBot="1">
      <c r="A8" s="139"/>
      <c r="B8" s="140"/>
      <c r="C8" s="140"/>
      <c r="D8" s="140"/>
      <c r="E8" s="140"/>
      <c r="F8" s="140"/>
      <c r="G8" s="141"/>
    </row>
    <row r="9" spans="1:7" s="26" customFormat="1" ht="63.75" customHeight="1" thickBot="1">
      <c r="A9" s="21" t="s">
        <v>29</v>
      </c>
      <c r="B9" s="22">
        <f>'1399'!G112</f>
        <v>105485238</v>
      </c>
      <c r="C9" s="23" t="s">
        <v>11</v>
      </c>
      <c r="D9" s="24" t="s">
        <v>30</v>
      </c>
      <c r="E9" s="148" t="str">
        <f>[2]!abh(B9)</f>
        <v>یکصد و پنج میلیون و چهارصد و هشتاد و پنج هزار و دویست و سی و هشت</v>
      </c>
      <c r="F9" s="149"/>
      <c r="G9" s="25" t="s">
        <v>11</v>
      </c>
    </row>
    <row r="10" spans="1:7" ht="77.25" customHeight="1">
      <c r="A10" s="21" t="s">
        <v>12</v>
      </c>
      <c r="B10" s="156" t="str">
        <f>'1400'!F54</f>
        <v>پرداخت حقوق و دستمزد فروردین ماه 1400 کارکنان شرکت پالایش میعانات گازی آدیش جنوبی طبق لیست پیوست (پرسنل گمرک)</v>
      </c>
      <c r="C10" s="156"/>
      <c r="D10" s="156"/>
      <c r="E10" s="156"/>
      <c r="F10" s="156"/>
      <c r="G10" s="157"/>
    </row>
    <row r="11" spans="1:7" ht="33" customHeight="1" thickBot="1">
      <c r="A11" s="30" t="s">
        <v>13</v>
      </c>
      <c r="B11" s="35" t="str">
        <f>'1399'!D18</f>
        <v>بانک ملت</v>
      </c>
      <c r="C11" s="31"/>
      <c r="D11" s="32" t="s">
        <v>14</v>
      </c>
      <c r="E11" s="31"/>
      <c r="F11" s="158"/>
      <c r="G11" s="153"/>
    </row>
    <row r="12" spans="1:7" ht="3.75" customHeight="1" thickBot="1"/>
    <row r="13" spans="1:7" ht="32.25" thickBot="1">
      <c r="A13" s="33" t="s">
        <v>15</v>
      </c>
      <c r="B13" s="38" t="str">
        <f>'1399'!C112</f>
        <v>696677</v>
      </c>
      <c r="C13" s="34" t="s">
        <v>16</v>
      </c>
      <c r="D13" s="39" t="str">
        <f>'1399'!B112</f>
        <v>1399/08/24</v>
      </c>
      <c r="E13" s="34" t="s">
        <v>17</v>
      </c>
      <c r="F13" s="144" t="s">
        <v>28</v>
      </c>
      <c r="G13" s="145"/>
    </row>
    <row r="14" spans="1:7" ht="3.75" customHeight="1" thickBot="1"/>
    <row r="15" spans="1:7" ht="19.5">
      <c r="A15" s="53" t="s">
        <v>20</v>
      </c>
      <c r="B15" s="10" t="s">
        <v>268</v>
      </c>
      <c r="C15" s="9"/>
      <c r="D15" s="10" t="s">
        <v>21</v>
      </c>
      <c r="E15" s="10"/>
      <c r="F15" s="121" t="s">
        <v>22</v>
      </c>
      <c r="G15" s="122"/>
    </row>
    <row r="16" spans="1:7" ht="34.5" customHeight="1">
      <c r="A16" s="2"/>
      <c r="F16" s="123"/>
      <c r="G16" s="123"/>
    </row>
    <row r="17" spans="1:7" ht="8.25" customHeight="1" thickBot="1">
      <c r="A17" s="3"/>
      <c r="B17" s="4"/>
      <c r="C17" s="4"/>
      <c r="D17" s="4"/>
      <c r="E17" s="4"/>
      <c r="F17" s="124"/>
      <c r="G17" s="125"/>
    </row>
    <row r="18" spans="1:7" ht="3.75" hidden="1" customHeight="1" thickBot="1"/>
    <row r="19" spans="1:7" ht="42" customHeight="1" thickBot="1">
      <c r="A19" s="13" t="s">
        <v>23</v>
      </c>
      <c r="B19" s="12"/>
      <c r="C19" s="5"/>
      <c r="D19" s="11" t="s">
        <v>24</v>
      </c>
      <c r="E19" s="8"/>
      <c r="F19" s="126" t="s">
        <v>25</v>
      </c>
      <c r="G19" s="127"/>
    </row>
    <row r="23" spans="1:7" ht="26.25" customHeight="1"/>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1399</vt:lpstr>
      <vt:lpstr>1400</vt:lpstr>
      <vt:lpstr>1401</vt: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'13'!Print_Area</vt:lpstr>
      <vt:lpstr>'1399'!Print_Area</vt:lpstr>
      <vt:lpstr>'1400'!Print_Area</vt:lpstr>
      <vt:lpstr>'1401'!Print_Area</vt:lpstr>
      <vt:lpstr>'2'!Print_Area</vt:lpstr>
      <vt:lpstr>'3'!Print_Area</vt:lpstr>
      <vt:lpstr>'4'!Print_Area</vt:lpstr>
      <vt:lpstr>'5'!Print_Area</vt:lpstr>
      <vt:lpstr>'6'!Print_Area</vt:lpstr>
      <vt:lpstr>'7'!Print_Area</vt:lpstr>
      <vt:lpstr>'8'!Print_Area</vt:lpstr>
      <vt:lpstr>'9'!Print_Area</vt:lpstr>
      <vt:lpstr>'1399'!Print_Titles</vt:lpstr>
      <vt:lpstr>'1400'!Print_Titles</vt:lpstr>
      <vt:lpstr>'1401'!Print_Titles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aminzadeh@adishrefinery.com</dc:creator>
  <cp:lastModifiedBy>Sepideh Japalaghi</cp:lastModifiedBy>
  <cp:lastPrinted>2022-10-18T08:41:04Z</cp:lastPrinted>
  <dcterms:created xsi:type="dcterms:W3CDTF">2015-08-25T07:31:20Z</dcterms:created>
  <dcterms:modified xsi:type="dcterms:W3CDTF">2022-11-28T07:09:16Z</dcterms:modified>
</cp:coreProperties>
</file>