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fp\Finance\Adish Refinery\Adish Group\Japalaghi\سال مالی 1403\Bank\اکسل های مرتبط\"/>
    </mc:Choice>
  </mc:AlternateContent>
  <xr:revisionPtr revIDLastSave="0" documentId="13_ncr:1_{46C45F4F-4AE0-4C5A-A11A-5558194EE8AE}" xr6:coauthVersionLast="47" xr6:coauthVersionMax="47" xr10:uidLastSave="{00000000-0000-0000-0000-000000000000}"/>
  <bookViews>
    <workbookView xWindow="-120" yWindow="-120" windowWidth="29040" windowHeight="15840" activeTab="6" xr2:uid="{00000000-000D-0000-FFFF-FFFF00000000}"/>
  </bookViews>
  <sheets>
    <sheet name="آقای صفائی فراهانی" sheetId="40" r:id="rId1"/>
    <sheet name="1398" sheetId="36" r:id="rId2"/>
    <sheet name="1399" sheetId="1" r:id="rId3"/>
    <sheet name="1400" sheetId="37" r:id="rId4"/>
    <sheet name="1401" sheetId="39" r:id="rId5"/>
    <sheet name="1" sheetId="25" r:id="rId6"/>
    <sheet name="2" sheetId="22" r:id="rId7"/>
    <sheet name="3" sheetId="23" r:id="rId8"/>
    <sheet name="4" sheetId="24" r:id="rId9"/>
    <sheet name="5" sheetId="27" r:id="rId10"/>
    <sheet name="6" sheetId="28" r:id="rId11"/>
    <sheet name="7" sheetId="32" r:id="rId12"/>
    <sheet name="8" sheetId="35" r:id="rId13"/>
    <sheet name="9" sheetId="34" r:id="rId14"/>
    <sheet name="10" sheetId="33" r:id="rId15"/>
    <sheet name="Sheet1" sheetId="29" r:id="rId16"/>
    <sheet name="Sheet2" sheetId="38" r:id="rId17"/>
  </sheets>
  <externalReferences>
    <externalReference r:id="rId18"/>
    <externalReference r:id="rId19"/>
  </externalReferences>
  <definedNames>
    <definedName name="_xlnm.Print_Area" localSheetId="5">'1'!$A$1:$G$19</definedName>
    <definedName name="_xlnm.Print_Area" localSheetId="14">'10'!$A$1:$G$19</definedName>
    <definedName name="_xlnm.Print_Area" localSheetId="1">'1398'!$A$1:$H$901</definedName>
    <definedName name="_xlnm.Print_Area" localSheetId="2">'1399'!$A$1:$H$703</definedName>
    <definedName name="_xlnm.Print_Area" localSheetId="3">'1400'!$A$1:$I$453</definedName>
    <definedName name="_xlnm.Print_Area" localSheetId="4">'1401'!$A$1:$I$299</definedName>
    <definedName name="_xlnm.Print_Area" localSheetId="6">'2'!$A$1:$G$19</definedName>
    <definedName name="_xlnm.Print_Area" localSheetId="7">'3'!$A$1:$G$19</definedName>
    <definedName name="_xlnm.Print_Area" localSheetId="8">'4'!$A$1:$G$19</definedName>
    <definedName name="_xlnm.Print_Area" localSheetId="9">'5'!$A$1:$G$19</definedName>
    <definedName name="_xlnm.Print_Area" localSheetId="10">'6'!$A$1:$G$19</definedName>
    <definedName name="_xlnm.Print_Area" localSheetId="11">'7'!$A$1:$G$19</definedName>
    <definedName name="_xlnm.Print_Area" localSheetId="12">'8'!$A$1:$G$19</definedName>
    <definedName name="_xlnm.Print_Area" localSheetId="13">'9'!$A$1:$G$19</definedName>
    <definedName name="_xlnm.Print_Area" localSheetId="0">'آقای صفائی فراهانی'!$A$1:$H$166</definedName>
    <definedName name="_xlnm.Print_Titles" localSheetId="1">'1398'!$1:$2</definedName>
    <definedName name="_xlnm.Print_Titles" localSheetId="2">'1399'!$1:$2</definedName>
    <definedName name="_xlnm.Print_Titles" localSheetId="3">'1400'!$1:$2</definedName>
    <definedName name="_xlnm.Print_Titles" localSheetId="4">'1401'!$1:$2</definedName>
    <definedName name="_xlnm.Print_Titles" localSheetId="0">'آقای صفائی فراهانی'!$1:$2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 i="22" l="1"/>
  <c r="B10" i="22"/>
  <c r="D13" i="22"/>
  <c r="F4" i="22"/>
  <c r="B9" i="25"/>
  <c r="B10" i="25"/>
  <c r="D13" i="25"/>
  <c r="F4" i="25"/>
  <c r="D13" i="33"/>
  <c r="F4" i="33"/>
  <c r="B13" i="33"/>
  <c r="B10" i="33"/>
  <c r="B9" i="33"/>
  <c r="G131" i="40"/>
  <c r="B13" i="22"/>
  <c r="D13" i="34"/>
  <c r="B13" i="34"/>
  <c r="B10" i="34"/>
  <c r="F4" i="34"/>
  <c r="B9" i="34"/>
  <c r="G117" i="40"/>
  <c r="B13" i="25"/>
  <c r="G26" i="40" l="1"/>
  <c r="H277" i="39" l="1"/>
  <c r="H276" i="39"/>
  <c r="H269" i="39" l="1"/>
  <c r="H257" i="39" l="1"/>
  <c r="H245" i="39" l="1"/>
  <c r="H241" i="39"/>
  <c r="H223" i="39" l="1"/>
  <c r="H220" i="39"/>
  <c r="H219" i="39"/>
  <c r="H187" i="39" l="1"/>
  <c r="H131" i="39" l="1"/>
  <c r="H127" i="39"/>
  <c r="H119" i="39"/>
  <c r="H118" i="39"/>
  <c r="H105" i="39" l="1"/>
  <c r="H98" i="39"/>
  <c r="B9" i="23"/>
  <c r="B10" i="23"/>
  <c r="B13" i="23"/>
  <c r="D13" i="23"/>
  <c r="F4" i="23"/>
  <c r="F11" i="22"/>
  <c r="H85" i="39"/>
  <c r="F156" i="40" l="1"/>
  <c r="G156" i="40"/>
  <c r="H10" i="40"/>
  <c r="H59" i="39" l="1"/>
  <c r="H43" i="39" l="1"/>
  <c r="B11" i="25"/>
  <c r="H35" i="39" l="1"/>
  <c r="H24" i="39" l="1"/>
  <c r="H22" i="39"/>
  <c r="G299" i="39" l="1"/>
  <c r="H299" i="39"/>
  <c r="I5" i="39"/>
  <c r="I6" i="39" s="1"/>
  <c r="I7" i="39" s="1"/>
  <c r="I8" i="39" s="1"/>
  <c r="I9" i="39" s="1"/>
  <c r="I10" i="39" s="1"/>
  <c r="I11" i="39" s="1"/>
  <c r="I12" i="39" s="1"/>
  <c r="I13" i="39" s="1"/>
  <c r="I14" i="39" s="1"/>
  <c r="I15" i="39" s="1"/>
  <c r="I16" i="39" s="1"/>
  <c r="I17" i="39" s="1"/>
  <c r="I18" i="39" s="1"/>
  <c r="I19" i="39" l="1"/>
  <c r="I20" i="39" s="1"/>
  <c r="I21" i="39" s="1"/>
  <c r="I22" i="39" s="1"/>
  <c r="I23" i="39" s="1"/>
  <c r="I24" i="39" s="1"/>
  <c r="I25" i="39" s="1"/>
  <c r="I26" i="39" s="1"/>
  <c r="I27" i="39" s="1"/>
  <c r="I28" i="39" s="1"/>
  <c r="I29" i="39" s="1"/>
  <c r="I30" i="39" s="1"/>
  <c r="I31" i="39" s="1"/>
  <c r="I32" i="39" s="1"/>
  <c r="I33" i="39" s="1"/>
  <c r="I34" i="39" s="1"/>
  <c r="I35" i="39" s="1"/>
  <c r="I36" i="39" s="1"/>
  <c r="I37" i="39" s="1"/>
  <c r="I38" i="39" s="1"/>
  <c r="I39" i="39" s="1"/>
  <c r="I40" i="39" s="1"/>
  <c r="I41" i="39" s="1"/>
  <c r="I42" i="39" s="1"/>
  <c r="I43" i="39" s="1"/>
  <c r="I44" i="39" s="1"/>
  <c r="I45" i="39" s="1"/>
  <c r="I46" i="39" s="1"/>
  <c r="I47" i="39" s="1"/>
  <c r="H439" i="37"/>
  <c r="H438" i="37"/>
  <c r="H435" i="37"/>
  <c r="I48" i="39" l="1"/>
  <c r="I49" i="39" s="1"/>
  <c r="I50" i="39" s="1"/>
  <c r="I51" i="39" s="1"/>
  <c r="I52" i="39" s="1"/>
  <c r="I53" i="39" s="1"/>
  <c r="I54" i="39" s="1"/>
  <c r="I55" i="39" s="1"/>
  <c r="I56" i="39" s="1"/>
  <c r="G453" i="37"/>
  <c r="I57" i="39" l="1"/>
  <c r="I58" i="39" s="1"/>
  <c r="I59" i="39" s="1"/>
  <c r="I60" i="39" s="1"/>
  <c r="H419" i="37"/>
  <c r="I61" i="39" l="1"/>
  <c r="I62" i="39" s="1"/>
  <c r="I63" i="39" s="1"/>
  <c r="I64" i="39" s="1"/>
  <c r="I65" i="39" s="1"/>
  <c r="I66" i="39" s="1"/>
  <c r="I67" i="39" s="1"/>
  <c r="I68" i="39" s="1"/>
  <c r="I69" i="39" s="1"/>
  <c r="I70" i="39" s="1"/>
  <c r="H407" i="37"/>
  <c r="H396" i="37"/>
  <c r="I71" i="39" l="1"/>
  <c r="I72" i="39" s="1"/>
  <c r="I73" i="39" s="1"/>
  <c r="I74" i="39" s="1"/>
  <c r="I75" i="39" s="1"/>
  <c r="I76" i="39" s="1"/>
  <c r="I77" i="39" s="1"/>
  <c r="I78" i="39" s="1"/>
  <c r="I79" i="39" s="1"/>
  <c r="I80" i="39" s="1"/>
  <c r="I81" i="39" s="1"/>
  <c r="H378" i="37"/>
  <c r="H364" i="37"/>
  <c r="H354" i="37"/>
  <c r="I82" i="39" l="1"/>
  <c r="H332" i="37"/>
  <c r="I83" i="39" l="1"/>
  <c r="I84" i="39" s="1"/>
  <c r="I85" i="39" s="1"/>
  <c r="I86" i="39" s="1"/>
  <c r="I87" i="39" s="1"/>
  <c r="I88" i="39" s="1"/>
  <c r="I89" i="39" s="1"/>
  <c r="I90" i="39" s="1"/>
  <c r="I91" i="39" s="1"/>
  <c r="I92" i="39" s="1"/>
  <c r="I93" i="39" s="1"/>
  <c r="I94" i="39" s="1"/>
  <c r="I95" i="39" s="1"/>
  <c r="I96" i="39" s="1"/>
  <c r="I97" i="39" s="1"/>
  <c r="I98" i="39" s="1"/>
  <c r="I99" i="39" s="1"/>
  <c r="I100" i="39" s="1"/>
  <c r="I101" i="39" s="1"/>
  <c r="I102" i="39" s="1"/>
  <c r="I103" i="39" s="1"/>
  <c r="I104" i="39" s="1"/>
  <c r="I105" i="39" s="1"/>
  <c r="I106" i="39" s="1"/>
  <c r="I107" i="39" s="1"/>
  <c r="I108" i="39" s="1"/>
  <c r="I109" i="39" s="1"/>
  <c r="I110" i="39" s="1"/>
  <c r="I111" i="39" s="1"/>
  <c r="I112" i="39" s="1"/>
  <c r="I113" i="39" s="1"/>
  <c r="I114" i="39" s="1"/>
  <c r="I115" i="39" s="1"/>
  <c r="I116" i="39" s="1"/>
  <c r="I117" i="39" s="1"/>
  <c r="I118" i="39" s="1"/>
  <c r="I119" i="39" s="1"/>
  <c r="I120" i="39" s="1"/>
  <c r="I121" i="39" s="1"/>
  <c r="I122" i="39" s="1"/>
  <c r="I123" i="39" s="1"/>
  <c r="I124" i="39" s="1"/>
  <c r="I125" i="39" s="1"/>
  <c r="H325" i="37"/>
  <c r="H314" i="37"/>
  <c r="H304" i="37"/>
  <c r="I126" i="39" l="1"/>
  <c r="I127" i="39" s="1"/>
  <c r="I128" i="39" s="1"/>
  <c r="H306" i="37"/>
  <c r="I129" i="39" l="1"/>
  <c r="H294" i="37"/>
  <c r="D13" i="24"/>
  <c r="F4" i="24" s="1"/>
  <c r="B13" i="24"/>
  <c r="B10" i="24"/>
  <c r="B9" i="24"/>
  <c r="H285" i="37"/>
  <c r="I130" i="39" l="1"/>
  <c r="I131" i="39" s="1"/>
  <c r="I132" i="39" s="1"/>
  <c r="I133" i="39" s="1"/>
  <c r="I134" i="39" s="1"/>
  <c r="I135" i="39" s="1"/>
  <c r="I136" i="39" s="1"/>
  <c r="I137" i="39" s="1"/>
  <c r="I138" i="39" s="1"/>
  <c r="I139" i="39" s="1"/>
  <c r="I140" i="39" s="1"/>
  <c r="I141" i="39" s="1"/>
  <c r="I142" i="39" s="1"/>
  <c r="I143" i="39" s="1"/>
  <c r="I144" i="39" s="1"/>
  <c r="I145" i="39" s="1"/>
  <c r="I146" i="39" s="1"/>
  <c r="I147" i="39" s="1"/>
  <c r="I148" i="39" s="1"/>
  <c r="I149" i="39" s="1"/>
  <c r="I150" i="39" s="1"/>
  <c r="I151" i="39" s="1"/>
  <c r="I152" i="39" s="1"/>
  <c r="H272" i="37"/>
  <c r="I153" i="39" l="1"/>
  <c r="I154" i="39" s="1"/>
  <c r="I155" i="39" s="1"/>
  <c r="I156" i="39" s="1"/>
  <c r="I157" i="39" s="1"/>
  <c r="I158" i="39" s="1"/>
  <c r="H259" i="37"/>
  <c r="I159" i="39" l="1"/>
  <c r="I160" i="39" s="1"/>
  <c r="I161" i="39" s="1"/>
  <c r="I162" i="39" s="1"/>
  <c r="I163" i="39" s="1"/>
  <c r="I164" i="39" s="1"/>
  <c r="I165" i="39" s="1"/>
  <c r="H248" i="37"/>
  <c r="H245" i="37"/>
  <c r="H239" i="37"/>
  <c r="H243" i="37"/>
  <c r="I166" i="39" l="1"/>
  <c r="I167" i="39" s="1"/>
  <c r="I168" i="39" s="1"/>
  <c r="I169" i="39" s="1"/>
  <c r="I170" i="39" s="1"/>
  <c r="H236" i="37"/>
  <c r="I171" i="39" l="1"/>
  <c r="I172" i="39" s="1"/>
  <c r="I173" i="39" s="1"/>
  <c r="I174" i="39" s="1"/>
  <c r="I175" i="39" s="1"/>
  <c r="I176" i="39" s="1"/>
  <c r="I177" i="39" s="1"/>
  <c r="I178" i="39" s="1"/>
  <c r="I179" i="39" s="1"/>
  <c r="H218" i="37"/>
  <c r="H217" i="37"/>
  <c r="I180" i="39" l="1"/>
  <c r="I181" i="39" s="1"/>
  <c r="I182" i="39" s="1"/>
  <c r="I183" i="39" s="1"/>
  <c r="H211" i="37"/>
  <c r="H202" i="37"/>
  <c r="I184" i="39" l="1"/>
  <c r="I185" i="39" s="1"/>
  <c r="I186" i="39" s="1"/>
  <c r="I187" i="39" s="1"/>
  <c r="I188" i="39" s="1"/>
  <c r="I189" i="39" s="1"/>
  <c r="I190" i="39" s="1"/>
  <c r="I191" i="39" s="1"/>
  <c r="I192" i="39" s="1"/>
  <c r="I193" i="39" s="1"/>
  <c r="I194" i="39" s="1"/>
  <c r="I195" i="39" s="1"/>
  <c r="I196" i="39" s="1"/>
  <c r="I197" i="39" s="1"/>
  <c r="I198" i="39" s="1"/>
  <c r="I199" i="39" s="1"/>
  <c r="I200" i="39" s="1"/>
  <c r="I201" i="39" s="1"/>
  <c r="I202" i="39" s="1"/>
  <c r="I203" i="39" s="1"/>
  <c r="I204" i="39" s="1"/>
  <c r="I205" i="39" s="1"/>
  <c r="I206" i="39" s="1"/>
  <c r="I207" i="39" s="1"/>
  <c r="I208" i="39" s="1"/>
  <c r="I209" i="39" s="1"/>
  <c r="I210" i="39" s="1"/>
  <c r="I211" i="39" s="1"/>
  <c r="I212" i="39" s="1"/>
  <c r="I213" i="39" s="1"/>
  <c r="I214" i="39" s="1"/>
  <c r="I215" i="39" s="1"/>
  <c r="I216" i="39" s="1"/>
  <c r="I217" i="39" s="1"/>
  <c r="I218" i="39" s="1"/>
  <c r="I219" i="39" s="1"/>
  <c r="I220" i="39" s="1"/>
  <c r="I221" i="39" s="1"/>
  <c r="I222" i="39" s="1"/>
  <c r="I223" i="39" s="1"/>
  <c r="I224" i="39" s="1"/>
  <c r="I225" i="39" s="1"/>
  <c r="I226" i="39" s="1"/>
  <c r="I227" i="39" s="1"/>
  <c r="I228" i="39" s="1"/>
  <c r="I229" i="39" s="1"/>
  <c r="I230" i="39" s="1"/>
  <c r="I231" i="39" s="1"/>
  <c r="I232" i="39" s="1"/>
  <c r="I233" i="39" s="1"/>
  <c r="I234" i="39" s="1"/>
  <c r="I235" i="39" s="1"/>
  <c r="I236" i="39" s="1"/>
  <c r="I237" i="39" s="1"/>
  <c r="I238" i="39" s="1"/>
  <c r="I239" i="39" s="1"/>
  <c r="I240" i="39" s="1"/>
  <c r="I241" i="39" s="1"/>
  <c r="I242" i="39" s="1"/>
  <c r="I243" i="39" s="1"/>
  <c r="I244" i="39" s="1"/>
  <c r="H200" i="37"/>
  <c r="I245" i="39" l="1"/>
  <c r="I246" i="39" s="1"/>
  <c r="I247" i="39" s="1"/>
  <c r="I248" i="39" s="1"/>
  <c r="I249" i="39" s="1"/>
  <c r="I250" i="39" s="1"/>
  <c r="I251" i="39" s="1"/>
  <c r="I252" i="39" s="1"/>
  <c r="I253" i="39" s="1"/>
  <c r="I254" i="39" s="1"/>
  <c r="I255" i="39" s="1"/>
  <c r="H177" i="37"/>
  <c r="H182" i="37"/>
  <c r="I256" i="39" l="1"/>
  <c r="I257" i="39" s="1"/>
  <c r="I258" i="39" s="1"/>
  <c r="I259" i="39" s="1"/>
  <c r="I260" i="39" s="1"/>
  <c r="I261" i="39" s="1"/>
  <c r="H175" i="37"/>
  <c r="H168" i="37"/>
  <c r="I262" i="39" l="1"/>
  <c r="I263" i="39" s="1"/>
  <c r="I264" i="39" s="1"/>
  <c r="I265" i="39" s="1"/>
  <c r="I266" i="39" s="1"/>
  <c r="I267" i="39" s="1"/>
  <c r="I268" i="39" s="1"/>
  <c r="I269" i="39" s="1"/>
  <c r="I270" i="39" s="1"/>
  <c r="I271" i="39" s="1"/>
  <c r="I272" i="39" s="1"/>
  <c r="I273" i="39" s="1"/>
  <c r="I274" i="39" s="1"/>
  <c r="I275" i="39" s="1"/>
  <c r="I276" i="39" s="1"/>
  <c r="I277" i="39" s="1"/>
  <c r="I278" i="39" s="1"/>
  <c r="I279" i="39" s="1"/>
  <c r="I280" i="39" s="1"/>
  <c r="H165" i="37"/>
  <c r="H154" i="37"/>
  <c r="I281" i="39" l="1"/>
  <c r="I282" i="39" s="1"/>
  <c r="I283" i="39" s="1"/>
  <c r="I284" i="39" s="1"/>
  <c r="I285" i="39" s="1"/>
  <c r="I286" i="39" s="1"/>
  <c r="H147" i="37"/>
  <c r="I287" i="39" l="1"/>
  <c r="I288" i="39" s="1"/>
  <c r="I289" i="39" s="1"/>
  <c r="I290" i="39" s="1"/>
  <c r="I291" i="39" s="1"/>
  <c r="I292" i="39" s="1"/>
  <c r="I293" i="39" s="1"/>
  <c r="I294" i="39" s="1"/>
  <c r="I295" i="39" s="1"/>
  <c r="I296" i="39" s="1"/>
  <c r="I297" i="39" s="1"/>
  <c r="I298" i="39" s="1"/>
  <c r="H124" i="37"/>
  <c r="H120" i="37"/>
  <c r="H118" i="37"/>
  <c r="H113" i="37" l="1"/>
  <c r="H103" i="37" l="1"/>
  <c r="H100" i="37"/>
  <c r="H93" i="37" l="1"/>
  <c r="H92" i="37" l="1"/>
  <c r="H88" i="37" l="1"/>
  <c r="H81" i="37"/>
  <c r="H53" i="37" l="1"/>
  <c r="H46" i="37" l="1"/>
  <c r="H41" i="37"/>
  <c r="H39" i="37"/>
  <c r="H49" i="37" l="1"/>
  <c r="H37" i="37" l="1"/>
  <c r="H32" i="37"/>
  <c r="H24" i="37" l="1"/>
  <c r="H453" i="37" s="1"/>
  <c r="G691" i="1" l="1"/>
  <c r="G685" i="1"/>
  <c r="G679" i="1"/>
  <c r="G678" i="1"/>
  <c r="I4" i="37" l="1"/>
  <c r="I5" i="37" s="1"/>
  <c r="I6" i="37" l="1"/>
  <c r="I7" i="37" s="1"/>
  <c r="G688" i="1"/>
  <c r="I8" i="37" l="1"/>
  <c r="I9" i="37" s="1"/>
  <c r="I10" i="37" s="1"/>
  <c r="I11" i="37" s="1"/>
  <c r="I12" i="37" s="1"/>
  <c r="I13" i="37" s="1"/>
  <c r="I14" i="37" s="1"/>
  <c r="I15" i="37" s="1"/>
  <c r="I16" i="37" s="1"/>
  <c r="I17" i="37" s="1"/>
  <c r="I18" i="37" s="1"/>
  <c r="I19" i="37" s="1"/>
  <c r="I20" i="37" s="1"/>
  <c r="I21" i="37" s="1"/>
  <c r="I22" i="37" s="1"/>
  <c r="I23" i="37" s="1"/>
  <c r="I24" i="37" s="1"/>
  <c r="I25" i="37" s="1"/>
  <c r="I26" i="37" s="1"/>
  <c r="I27" i="37" s="1"/>
  <c r="I28" i="37" s="1"/>
  <c r="I29" i="37" s="1"/>
  <c r="I30" i="37" s="1"/>
  <c r="I31" i="37" s="1"/>
  <c r="I32" i="37" s="1"/>
  <c r="I33" i="37" s="1"/>
  <c r="I34" i="37" s="1"/>
  <c r="I35" i="37" s="1"/>
  <c r="I36" i="37" s="1"/>
  <c r="I37" i="37" s="1"/>
  <c r="I38" i="37" s="1"/>
  <c r="I39" i="37" s="1"/>
  <c r="I40" i="37" s="1"/>
  <c r="I41" i="37" s="1"/>
  <c r="I42" i="37" s="1"/>
  <c r="I43" i="37" s="1"/>
  <c r="I44" i="37" s="1"/>
  <c r="I45" i="37" s="1"/>
  <c r="I46" i="37" s="1"/>
  <c r="I47" i="37" s="1"/>
  <c r="I48" i="37" s="1"/>
  <c r="I49" i="37" s="1"/>
  <c r="I50" i="37" s="1"/>
  <c r="I51" i="37" s="1"/>
  <c r="I52" i="37" s="1"/>
  <c r="I53" i="37" s="1"/>
  <c r="I54" i="37" s="1"/>
  <c r="I55" i="37" s="1"/>
  <c r="I56" i="37" s="1"/>
  <c r="I57" i="37" s="1"/>
  <c r="I58" i="37" s="1"/>
  <c r="I59" i="37" s="1"/>
  <c r="I60" i="37" s="1"/>
  <c r="I61" i="37" s="1"/>
  <c r="I62" i="37" s="1"/>
  <c r="I63" i="37" s="1"/>
  <c r="I64" i="37" s="1"/>
  <c r="I65" i="37" s="1"/>
  <c r="I66" i="37" s="1"/>
  <c r="I67" i="37" s="1"/>
  <c r="I68" i="37" s="1"/>
  <c r="I69" i="37" s="1"/>
  <c r="I70" i="37" s="1"/>
  <c r="I71" i="37" s="1"/>
  <c r="I72" i="37" s="1"/>
  <c r="I73" i="37" s="1"/>
  <c r="I74" i="37" s="1"/>
  <c r="I75" i="37" s="1"/>
  <c r="G670" i="1"/>
  <c r="I76" i="37" l="1"/>
  <c r="I77" i="37" s="1"/>
  <c r="I78" i="37" s="1"/>
  <c r="I79" i="37" s="1"/>
  <c r="I80" i="37" s="1"/>
  <c r="I81" i="37" s="1"/>
  <c r="I82" i="37" s="1"/>
  <c r="I83" i="37" s="1"/>
  <c r="I84" i="37" s="1"/>
  <c r="I85" i="37" s="1"/>
  <c r="I86" i="37" s="1"/>
  <c r="G665" i="1"/>
  <c r="I87" i="37" l="1"/>
  <c r="I88" i="37" s="1"/>
  <c r="I89" i="37" s="1"/>
  <c r="I90" i="37" s="1"/>
  <c r="I91" i="37" s="1"/>
  <c r="I92" i="37" s="1"/>
  <c r="I93" i="37" s="1"/>
  <c r="I94" i="37" s="1"/>
  <c r="I95" i="37" s="1"/>
  <c r="I96" i="37" s="1"/>
  <c r="I97" i="37" s="1"/>
  <c r="I98" i="37" s="1"/>
  <c r="I99" i="37" s="1"/>
  <c r="I100" i="37" s="1"/>
  <c r="I101" i="37" s="1"/>
  <c r="I102" i="37" s="1"/>
  <c r="I103" i="37" s="1"/>
  <c r="I104" i="37" s="1"/>
  <c r="I105" i="37" s="1"/>
  <c r="I106" i="37" s="1"/>
  <c r="I107" i="37" s="1"/>
  <c r="I108" i="37" s="1"/>
  <c r="I109" i="37" s="1"/>
  <c r="I110" i="37" s="1"/>
  <c r="G659" i="1"/>
  <c r="G654" i="1"/>
  <c r="I111" i="37" l="1"/>
  <c r="I112" i="37" s="1"/>
  <c r="I113" i="37" s="1"/>
  <c r="I114" i="37" s="1"/>
  <c r="I115" i="37" s="1"/>
  <c r="I116" i="37" s="1"/>
  <c r="I117" i="37" s="1"/>
  <c r="I118" i="37" s="1"/>
  <c r="I119" i="37" s="1"/>
  <c r="I120" i="37" s="1"/>
  <c r="I121" i="37" s="1"/>
  <c r="I122" i="37" s="1"/>
  <c r="I123" i="37" s="1"/>
  <c r="I124" i="37" s="1"/>
  <c r="I125" i="37" s="1"/>
  <c r="I126" i="37" s="1"/>
  <c r="I127" i="37" s="1"/>
  <c r="I128" i="37" s="1"/>
  <c r="I129" i="37" s="1"/>
  <c r="I130" i="37" s="1"/>
  <c r="I131" i="37" s="1"/>
  <c r="I132" i="37" s="1"/>
  <c r="I133" i="37" s="1"/>
  <c r="I134" i="37" s="1"/>
  <c r="I135" i="37" s="1"/>
  <c r="I136" i="37" s="1"/>
  <c r="I137" i="37" s="1"/>
  <c r="I138" i="37" s="1"/>
  <c r="I139" i="37" s="1"/>
  <c r="I140" i="37" s="1"/>
  <c r="I141" i="37" s="1"/>
  <c r="I142" i="37" s="1"/>
  <c r="I143" i="37" s="1"/>
  <c r="I144" i="37" s="1"/>
  <c r="I145" i="37" s="1"/>
  <c r="I146" i="37" s="1"/>
  <c r="I147" i="37" s="1"/>
  <c r="I148" i="37" s="1"/>
  <c r="I149" i="37" s="1"/>
  <c r="I150" i="37" s="1"/>
  <c r="I151" i="37" s="1"/>
  <c r="I152" i="37" s="1"/>
  <c r="I153" i="37" s="1"/>
  <c r="I154" i="37" s="1"/>
  <c r="I155" i="37" s="1"/>
  <c r="I156" i="37" s="1"/>
  <c r="I157" i="37" s="1"/>
  <c r="I158" i="37" s="1"/>
  <c r="I159" i="37" s="1"/>
  <c r="I160" i="37" s="1"/>
  <c r="I161" i="37" s="1"/>
  <c r="I162" i="37" s="1"/>
  <c r="I163" i="37" s="1"/>
  <c r="I164" i="37" s="1"/>
  <c r="I165" i="37" s="1"/>
  <c r="I166" i="37" s="1"/>
  <c r="I167" i="37" s="1"/>
  <c r="I168" i="37" s="1"/>
  <c r="I169" i="37" s="1"/>
  <c r="I170" i="37" s="1"/>
  <c r="I171" i="37" s="1"/>
  <c r="I172" i="37" s="1"/>
  <c r="I173" i="37" s="1"/>
  <c r="I174" i="37" s="1"/>
  <c r="I175" i="37" s="1"/>
  <c r="I176" i="37" s="1"/>
  <c r="I177" i="37" s="1"/>
  <c r="I178" i="37" s="1"/>
  <c r="I179" i="37" s="1"/>
  <c r="I180" i="37" s="1"/>
  <c r="I181" i="37" s="1"/>
  <c r="I182" i="37" s="1"/>
  <c r="I183" i="37" s="1"/>
  <c r="I184" i="37" s="1"/>
  <c r="I185" i="37" s="1"/>
  <c r="I186" i="37" s="1"/>
  <c r="I187" i="37" s="1"/>
  <c r="I188" i="37" s="1"/>
  <c r="I189" i="37" s="1"/>
  <c r="I190" i="37" s="1"/>
  <c r="I191" i="37" s="1"/>
  <c r="I192" i="37" s="1"/>
  <c r="I193" i="37" s="1"/>
  <c r="I194" i="37" s="1"/>
  <c r="I195" i="37" s="1"/>
  <c r="I196" i="37" s="1"/>
  <c r="I197" i="37" s="1"/>
  <c r="I198" i="37" s="1"/>
  <c r="I199" i="37" s="1"/>
  <c r="I200" i="37" s="1"/>
  <c r="I201" i="37" s="1"/>
  <c r="I202" i="37" s="1"/>
  <c r="I203" i="37" s="1"/>
  <c r="I204" i="37" s="1"/>
  <c r="I205" i="37" s="1"/>
  <c r="G640" i="1"/>
  <c r="I206" i="37" l="1"/>
  <c r="I207" i="37" s="1"/>
  <c r="I208" i="37" s="1"/>
  <c r="I209" i="37" s="1"/>
  <c r="I210" i="37" s="1"/>
  <c r="I211" i="37" s="1"/>
  <c r="I212" i="37" s="1"/>
  <c r="I213" i="37" s="1"/>
  <c r="I214" i="37" s="1"/>
  <c r="I215" i="37" s="1"/>
  <c r="I216" i="37" s="1"/>
  <c r="I217" i="37" s="1"/>
  <c r="I218" i="37" s="1"/>
  <c r="I219" i="37" s="1"/>
  <c r="I220" i="37" s="1"/>
  <c r="I221" i="37" s="1"/>
  <c r="I222" i="37" s="1"/>
  <c r="I223" i="37" s="1"/>
  <c r="I224" i="37" s="1"/>
  <c r="I225" i="37" s="1"/>
  <c r="I226" i="37" s="1"/>
  <c r="I227" i="37" s="1"/>
  <c r="I228" i="37" s="1"/>
  <c r="I229" i="37" s="1"/>
  <c r="I230" i="37" s="1"/>
  <c r="I231" i="37" s="1"/>
  <c r="I232" i="37" s="1"/>
  <c r="I233" i="37" s="1"/>
  <c r="I234" i="37" s="1"/>
  <c r="I235" i="37" s="1"/>
  <c r="I236" i="37" s="1"/>
  <c r="I237" i="37" s="1"/>
  <c r="I238" i="37" s="1"/>
  <c r="I239" i="37" s="1"/>
  <c r="I240" i="37" s="1"/>
  <c r="I241" i="37" s="1"/>
  <c r="I242" i="37" s="1"/>
  <c r="I243" i="37" s="1"/>
  <c r="I244" i="37" s="1"/>
  <c r="I245" i="37" s="1"/>
  <c r="I246" i="37" s="1"/>
  <c r="I247" i="37" s="1"/>
  <c r="I248" i="37" s="1"/>
  <c r="I249" i="37" s="1"/>
  <c r="I250" i="37" s="1"/>
  <c r="I251" i="37" s="1"/>
  <c r="I252" i="37" s="1"/>
  <c r="I253" i="37" s="1"/>
  <c r="I254" i="37" s="1"/>
  <c r="G623" i="1"/>
  <c r="I255" i="37" l="1"/>
  <c r="I256" i="37" s="1"/>
  <c r="I257" i="37" s="1"/>
  <c r="I258" i="37" s="1"/>
  <c r="I259" i="37" s="1"/>
  <c r="I260" i="37" s="1"/>
  <c r="I261" i="37" s="1"/>
  <c r="I262" i="37" s="1"/>
  <c r="I263" i="37" s="1"/>
  <c r="I264" i="37" s="1"/>
  <c r="I265" i="37" s="1"/>
  <c r="I266" i="37" s="1"/>
  <c r="I267" i="37" s="1"/>
  <c r="I268" i="37" s="1"/>
  <c r="I269" i="37" s="1"/>
  <c r="I270" i="37" s="1"/>
  <c r="I271" i="37" s="1"/>
  <c r="I272" i="37" s="1"/>
  <c r="I273" i="37" l="1"/>
  <c r="I274" i="37" s="1"/>
  <c r="I275" i="37" s="1"/>
  <c r="I276" i="37" s="1"/>
  <c r="I277" i="37" s="1"/>
  <c r="I278" i="37" s="1"/>
  <c r="I279" i="37" s="1"/>
  <c r="I280" i="37" s="1"/>
  <c r="I281" i="37" s="1"/>
  <c r="I282" i="37" s="1"/>
  <c r="I283" i="37" s="1"/>
  <c r="I284" i="37" s="1"/>
  <c r="I285" i="37" s="1"/>
  <c r="I286" i="37" s="1"/>
  <c r="G595" i="1"/>
  <c r="I287" i="37" l="1"/>
  <c r="I288" i="37" s="1"/>
  <c r="I289" i="37" s="1"/>
  <c r="I290" i="37" s="1"/>
  <c r="I291" i="37" s="1"/>
  <c r="I292" i="37" s="1"/>
  <c r="I293" i="37" s="1"/>
  <c r="I294" i="37" s="1"/>
  <c r="I295" i="37" s="1"/>
  <c r="I296" i="37" s="1"/>
  <c r="I297" i="37" s="1"/>
  <c r="I298" i="37" s="1"/>
  <c r="I299" i="37" s="1"/>
  <c r="I300" i="37" s="1"/>
  <c r="I301" i="37" s="1"/>
  <c r="I302" i="37" s="1"/>
  <c r="I303" i="37" s="1"/>
  <c r="I304" i="37" s="1"/>
  <c r="I305" i="37" s="1"/>
  <c r="I306" i="37" s="1"/>
  <c r="I307" i="37" s="1"/>
  <c r="I308" i="37" s="1"/>
  <c r="I309" i="37" s="1"/>
  <c r="I310" i="37" s="1"/>
  <c r="I311" i="37" s="1"/>
  <c r="I312" i="37" s="1"/>
  <c r="I313" i="37" s="1"/>
  <c r="I314" i="37" s="1"/>
  <c r="I315" i="37" s="1"/>
  <c r="I316" i="37" s="1"/>
  <c r="I317" i="37" s="1"/>
  <c r="I318" i="37" s="1"/>
  <c r="I319" i="37" s="1"/>
  <c r="I320" i="37" s="1"/>
  <c r="I321" i="37" s="1"/>
  <c r="I322" i="37" s="1"/>
  <c r="I323" i="37" s="1"/>
  <c r="I324" i="37" s="1"/>
  <c r="I325" i="37" s="1"/>
  <c r="I326" i="37" s="1"/>
  <c r="I327" i="37" s="1"/>
  <c r="I328" i="37" s="1"/>
  <c r="I329" i="37" s="1"/>
  <c r="I330" i="37" s="1"/>
  <c r="I331" i="37" s="1"/>
  <c r="I332" i="37" s="1"/>
  <c r="I333" i="37" s="1"/>
  <c r="I334" i="37" s="1"/>
  <c r="I335" i="37" s="1"/>
  <c r="I336" i="37" s="1"/>
  <c r="I337" i="37" s="1"/>
  <c r="I338" i="37" s="1"/>
  <c r="I339" i="37" s="1"/>
  <c r="I340" i="37" s="1"/>
  <c r="I341" i="37" s="1"/>
  <c r="I342" i="37" s="1"/>
  <c r="I343" i="37" s="1"/>
  <c r="I344" i="37" s="1"/>
  <c r="I345" i="37" s="1"/>
  <c r="I346" i="37" s="1"/>
  <c r="G583" i="1"/>
  <c r="I347" i="37" l="1"/>
  <c r="I348" i="37" s="1"/>
  <c r="I349" i="37" s="1"/>
  <c r="I350" i="37" s="1"/>
  <c r="I351" i="37" s="1"/>
  <c r="I352" i="37" s="1"/>
  <c r="G573" i="1"/>
  <c r="I353" i="37" l="1"/>
  <c r="G556" i="1"/>
  <c r="I354" i="37" l="1"/>
  <c r="I355" i="37" s="1"/>
  <c r="I356" i="37" s="1"/>
  <c r="I357" i="37" s="1"/>
  <c r="I358" i="37" s="1"/>
  <c r="I359" i="37" s="1"/>
  <c r="F4" i="28"/>
  <c r="D13" i="27"/>
  <c r="B13" i="27"/>
  <c r="B10" i="27"/>
  <c r="B9" i="27"/>
  <c r="F4" i="27"/>
  <c r="E9" i="27"/>
  <c r="I360" i="37" l="1"/>
  <c r="I361" i="37" s="1"/>
  <c r="I362" i="37" s="1"/>
  <c r="I363" i="37" s="1"/>
  <c r="I364" i="37" s="1"/>
  <c r="B11" i="33"/>
  <c r="B11" i="34"/>
  <c r="F13" i="35"/>
  <c r="D13" i="35"/>
  <c r="B13" i="35"/>
  <c r="B11" i="35"/>
  <c r="B10" i="35"/>
  <c r="B9" i="35"/>
  <c r="F4" i="35"/>
  <c r="F13" i="32"/>
  <c r="D13" i="32"/>
  <c r="B13" i="32"/>
  <c r="B11" i="32"/>
  <c r="B10" i="32"/>
  <c r="B9" i="32"/>
  <c r="F4" i="32"/>
  <c r="E9" i="32"/>
  <c r="E9" i="35"/>
  <c r="I365" i="37" l="1"/>
  <c r="I366" i="37" s="1"/>
  <c r="I367" i="37" s="1"/>
  <c r="I368" i="37" s="1"/>
  <c r="I369" i="37" s="1"/>
  <c r="I370" i="37" s="1"/>
  <c r="I371" i="37" s="1"/>
  <c r="I372" i="37" s="1"/>
  <c r="G462" i="1"/>
  <c r="G461" i="1"/>
  <c r="I373" i="37" l="1"/>
  <c r="G403" i="1"/>
  <c r="G402" i="1"/>
  <c r="I374" i="37" l="1"/>
  <c r="I375" i="37" s="1"/>
  <c r="I376" i="37" s="1"/>
  <c r="I377" i="37" s="1"/>
  <c r="I378" i="37" s="1"/>
  <c r="I379" i="37" s="1"/>
  <c r="I380" i="37" s="1"/>
  <c r="I381" i="37" s="1"/>
  <c r="I382" i="37" s="1"/>
  <c r="I383" i="37" s="1"/>
  <c r="I384" i="37" s="1"/>
  <c r="I385" i="37" s="1"/>
  <c r="I386" i="37" s="1"/>
  <c r="I387" i="37" s="1"/>
  <c r="I388" i="37" s="1"/>
  <c r="I389" i="37" s="1"/>
  <c r="I390" i="37" s="1"/>
  <c r="I391" i="37" s="1"/>
  <c r="I392" i="37" s="1"/>
  <c r="I393" i="37" s="1"/>
  <c r="I394" i="37" s="1"/>
  <c r="I395" i="37" s="1"/>
  <c r="I396" i="37" s="1"/>
  <c r="I397" i="37" s="1"/>
  <c r="I398" i="37" s="1"/>
  <c r="B9" i="28"/>
  <c r="B10" i="28"/>
  <c r="B13" i="28"/>
  <c r="D13" i="28"/>
  <c r="E9" i="28"/>
  <c r="I399" i="37" l="1"/>
  <c r="I400" i="37" s="1"/>
  <c r="I401" i="37" s="1"/>
  <c r="I402" i="37" s="1"/>
  <c r="I403" i="37" s="1"/>
  <c r="I404" i="37" s="1"/>
  <c r="I405" i="37" s="1"/>
  <c r="I406" i="37" s="1"/>
  <c r="I407" i="37" s="1"/>
  <c r="I408" i="37" s="1"/>
  <c r="I409" i="37" s="1"/>
  <c r="I410" i="37" s="1"/>
  <c r="I411" i="37" s="1"/>
  <c r="I412" i="37" s="1"/>
  <c r="I413" i="37" s="1"/>
  <c r="I414" i="37" s="1"/>
  <c r="I415" i="37" s="1"/>
  <c r="I416" i="37" s="1"/>
  <c r="I417" i="37" s="1"/>
  <c r="I418" i="37" s="1"/>
  <c r="I419" i="37" s="1"/>
  <c r="I420" i="37" s="1"/>
  <c r="I421" i="37" s="1"/>
  <c r="I422" i="37" s="1"/>
  <c r="I423" i="37" s="1"/>
  <c r="I424" i="37" s="1"/>
  <c r="I425" i="37" s="1"/>
  <c r="I426" i="37" s="1"/>
  <c r="I427" i="37" s="1"/>
  <c r="I428" i="37" s="1"/>
  <c r="I429" i="37" s="1"/>
  <c r="I430" i="37" s="1"/>
  <c r="I431" i="37" s="1"/>
  <c r="I432" i="37" s="1"/>
  <c r="I433" i="37" s="1"/>
  <c r="I434" i="37" s="1"/>
  <c r="I435" i="37" s="1"/>
  <c r="I436" i="37" s="1"/>
  <c r="I437" i="37" s="1"/>
  <c r="I438" i="37" s="1"/>
  <c r="I439" i="37" s="1"/>
  <c r="I440" i="37" s="1"/>
  <c r="I441" i="37" s="1"/>
  <c r="I442" i="37" s="1"/>
  <c r="I443" i="37" s="1"/>
  <c r="I444" i="37" s="1"/>
  <c r="G369" i="1"/>
  <c r="I445" i="37" l="1"/>
  <c r="I446" i="37" s="1"/>
  <c r="G313" i="1"/>
  <c r="G306" i="1" l="1"/>
  <c r="I447" i="37" l="1"/>
  <c r="I448" i="37" s="1"/>
  <c r="I449" i="37" s="1"/>
  <c r="I450" i="37" s="1"/>
  <c r="I451" i="37" s="1"/>
  <c r="I452" i="37" s="1"/>
  <c r="G289" i="1"/>
  <c r="G279" i="1" l="1"/>
  <c r="G144" i="1" l="1"/>
  <c r="G85" i="1" l="1"/>
  <c r="G74" i="1" l="1"/>
  <c r="B11" i="28" l="1"/>
  <c r="G39" i="1" l="1"/>
  <c r="G703" i="1" s="1"/>
  <c r="B11" i="27" l="1"/>
  <c r="B11" i="24" l="1"/>
  <c r="B11" i="23" l="1"/>
  <c r="B11" i="22" l="1"/>
  <c r="F4" i="1" l="1"/>
  <c r="F703" i="1" s="1"/>
  <c r="G866" i="36" l="1"/>
  <c r="G855" i="36"/>
  <c r="G854" i="36"/>
  <c r="G832" i="36"/>
  <c r="G829" i="36"/>
  <c r="G654" i="36"/>
  <c r="G655" i="36" s="1"/>
  <c r="G564" i="36"/>
  <c r="H561" i="36"/>
  <c r="H562" i="36" s="1"/>
  <c r="H563" i="36" s="1"/>
  <c r="G493" i="36"/>
  <c r="G488" i="36"/>
  <c r="G471" i="36"/>
  <c r="H425" i="36"/>
  <c r="H427" i="36" s="1"/>
  <c r="H429" i="36" s="1"/>
  <c r="G365" i="36"/>
  <c r="G364" i="36"/>
  <c r="G321" i="36"/>
  <c r="H319" i="36"/>
  <c r="H320" i="36" s="1"/>
  <c r="G311" i="36"/>
  <c r="H306" i="36" s="1"/>
  <c r="H308" i="36" s="1"/>
  <c r="G300" i="36"/>
  <c r="G271" i="36"/>
  <c r="G265" i="36"/>
  <c r="G254" i="36"/>
  <c r="G223" i="36"/>
  <c r="F222" i="36"/>
  <c r="H216" i="36"/>
  <c r="H217" i="36" s="1"/>
  <c r="H218" i="36" s="1"/>
  <c r="H219" i="36" s="1"/>
  <c r="H220" i="36" s="1"/>
  <c r="H221" i="36" s="1"/>
  <c r="H199" i="36"/>
  <c r="H200" i="36" s="1"/>
  <c r="H201" i="36" s="1"/>
  <c r="H202" i="36" s="1"/>
  <c r="H203" i="36" s="1"/>
  <c r="H204" i="36" s="1"/>
  <c r="H205" i="36" s="1"/>
  <c r="H206" i="36" s="1"/>
  <c r="H207" i="36" s="1"/>
  <c r="H208" i="36" s="1"/>
  <c r="H209" i="36" s="1"/>
  <c r="H210" i="36" s="1"/>
  <c r="H211" i="36" s="1"/>
  <c r="H212" i="36" s="1"/>
  <c r="H213" i="36" s="1"/>
  <c r="H214" i="36" s="1"/>
  <c r="H197" i="36"/>
  <c r="E165" i="36"/>
  <c r="E170" i="36" s="1"/>
  <c r="E172" i="36" s="1"/>
  <c r="E190" i="36" s="1"/>
  <c r="B156" i="36"/>
  <c r="B155" i="36"/>
  <c r="B152" i="36"/>
  <c r="B157" i="36" s="1"/>
  <c r="G140" i="36"/>
  <c r="E121" i="36"/>
  <c r="E119" i="36" s="1"/>
  <c r="G119" i="36"/>
  <c r="E101" i="36"/>
  <c r="E99" i="36" s="1"/>
  <c r="B82" i="36"/>
  <c r="B83" i="36" s="1"/>
  <c r="B84" i="36" s="1"/>
  <c r="B85" i="36" s="1"/>
  <c r="D78" i="36"/>
  <c r="D81" i="36" s="1"/>
  <c r="D83" i="36" s="1"/>
  <c r="B78" i="36"/>
  <c r="B79" i="36" s="1"/>
  <c r="E76" i="36"/>
  <c r="E75" i="36"/>
  <c r="D75" i="36"/>
  <c r="F68" i="36"/>
  <c r="E68" i="36"/>
  <c r="G63" i="36"/>
  <c r="G69" i="36" s="1"/>
  <c r="E60" i="36"/>
  <c r="G57" i="36"/>
  <c r="D47" i="36"/>
  <c r="D48" i="36" s="1"/>
  <c r="D50" i="36" s="1"/>
  <c r="D51" i="36" s="1"/>
  <c r="D52" i="36" s="1"/>
  <c r="D53" i="36" s="1"/>
  <c r="D54" i="36" s="1"/>
  <c r="D55" i="36" s="1"/>
  <c r="D57" i="36" s="1"/>
  <c r="D58" i="36" s="1"/>
  <c r="D61" i="36" s="1"/>
  <c r="D66" i="36" s="1"/>
  <c r="D67" i="36" s="1"/>
  <c r="D69" i="36" s="1"/>
  <c r="D70" i="36" s="1"/>
  <c r="D72" i="36" s="1"/>
  <c r="E42" i="36"/>
  <c r="E57" i="36" s="1"/>
  <c r="E58" i="36" s="1"/>
  <c r="E26" i="36"/>
  <c r="E28" i="36" s="1"/>
  <c r="E55" i="36" s="1"/>
  <c r="E18" i="36"/>
  <c r="H4" i="36"/>
  <c r="H5" i="36" s="1"/>
  <c r="H6" i="36" s="1"/>
  <c r="H7" i="36" s="1"/>
  <c r="H8" i="36" s="1"/>
  <c r="H9" i="36" s="1"/>
  <c r="H10" i="36" s="1"/>
  <c r="H11" i="36" s="1"/>
  <c r="H12" i="36" s="1"/>
  <c r="H13" i="36" s="1"/>
  <c r="H14" i="36" s="1"/>
  <c r="H15" i="36" s="1"/>
  <c r="H16" i="36" s="1"/>
  <c r="H17" i="36" s="1"/>
  <c r="H18" i="36" s="1"/>
  <c r="H19" i="36" s="1"/>
  <c r="H20" i="36" s="1"/>
  <c r="H21" i="36" s="1"/>
  <c r="H22" i="36" s="1"/>
  <c r="H23" i="36" s="1"/>
  <c r="H24" i="36" s="1"/>
  <c r="H25" i="36" s="1"/>
  <c r="H26" i="36" s="1"/>
  <c r="H27" i="36" s="1"/>
  <c r="H28" i="36" s="1"/>
  <c r="H29" i="36" s="1"/>
  <c r="H30" i="36" s="1"/>
  <c r="H31" i="36" s="1"/>
  <c r="H32" i="36" s="1"/>
  <c r="H33" i="36" s="1"/>
  <c r="H34" i="36" s="1"/>
  <c r="H35" i="36" s="1"/>
  <c r="H36" i="36" s="1"/>
  <c r="H37" i="36" s="1"/>
  <c r="H38" i="36" s="1"/>
  <c r="H39" i="36" s="1"/>
  <c r="H40" i="36" s="1"/>
  <c r="H41" i="36" s="1"/>
  <c r="H42" i="36" s="1"/>
  <c r="H43" i="36" s="1"/>
  <c r="H44" i="36" s="1"/>
  <c r="H45" i="36" s="1"/>
  <c r="H46" i="36" s="1"/>
  <c r="H47" i="36" s="1"/>
  <c r="H48" i="36" s="1"/>
  <c r="H49" i="36" s="1"/>
  <c r="H50" i="36" s="1"/>
  <c r="H51" i="36" s="1"/>
  <c r="H52" i="36" s="1"/>
  <c r="H53" i="36" s="1"/>
  <c r="H54" i="36" s="1"/>
  <c r="H55" i="36" s="1"/>
  <c r="H56" i="36" s="1"/>
  <c r="H57" i="36" l="1"/>
  <c r="H58" i="36" s="1"/>
  <c r="H59" i="36" s="1"/>
  <c r="H60" i="36" s="1"/>
  <c r="H61" i="36" s="1"/>
  <c r="H62" i="36" s="1"/>
  <c r="H63" i="36" s="1"/>
  <c r="H64" i="36" s="1"/>
  <c r="H65" i="36" s="1"/>
  <c r="H66" i="36" s="1"/>
  <c r="H67" i="36" s="1"/>
  <c r="H68" i="36" s="1"/>
  <c r="H69" i="36" s="1"/>
  <c r="H70" i="36" s="1"/>
  <c r="H71" i="36" s="1"/>
  <c r="H72" i="36" s="1"/>
  <c r="H73" i="36" s="1"/>
  <c r="H74" i="36" s="1"/>
  <c r="H75" i="36" s="1"/>
  <c r="H76" i="36" s="1"/>
  <c r="H77" i="36" s="1"/>
  <c r="H78" i="36" s="1"/>
  <c r="H79" i="36" s="1"/>
  <c r="H80" i="36" s="1"/>
  <c r="H81" i="36" s="1"/>
  <c r="H82" i="36" s="1"/>
  <c r="H83" i="36" s="1"/>
  <c r="H84" i="36" s="1"/>
  <c r="H85" i="36" s="1"/>
  <c r="H86" i="36" s="1"/>
  <c r="H87" i="36" s="1"/>
  <c r="H88" i="36" s="1"/>
  <c r="H89" i="36" s="1"/>
  <c r="H90" i="36" s="1"/>
  <c r="H91" i="36" s="1"/>
  <c r="H92" i="36" s="1"/>
  <c r="H93" i="36" s="1"/>
  <c r="H94" i="36" s="1"/>
  <c r="H95" i="36" s="1"/>
  <c r="H96" i="36" s="1"/>
  <c r="H97" i="36" s="1"/>
  <c r="H98" i="36" s="1"/>
  <c r="H99" i="36" s="1"/>
  <c r="H100" i="36" s="1"/>
  <c r="H101" i="36" s="1"/>
  <c r="H102" i="36" s="1"/>
  <c r="H103" i="36" s="1"/>
  <c r="H104" i="36" s="1"/>
  <c r="H105" i="36" s="1"/>
  <c r="H106" i="36" s="1"/>
  <c r="H107" i="36" s="1"/>
  <c r="H108" i="36" s="1"/>
  <c r="H109" i="36" s="1"/>
  <c r="H110" i="36" s="1"/>
  <c r="H111" i="36" s="1"/>
  <c r="H112" i="36" s="1"/>
  <c r="H113" i="36" s="1"/>
  <c r="H114" i="36" s="1"/>
  <c r="H115" i="36" s="1"/>
  <c r="H116" i="36" s="1"/>
  <c r="H117" i="36" s="1"/>
  <c r="H118" i="36" s="1"/>
  <c r="H119" i="36" s="1"/>
  <c r="H120" i="36" s="1"/>
  <c r="H121" i="36" s="1"/>
  <c r="H122" i="36" s="1"/>
  <c r="H123" i="36" s="1"/>
  <c r="H124" i="36" s="1"/>
  <c r="H125" i="36" s="1"/>
  <c r="H126" i="36" s="1"/>
  <c r="H127" i="36" s="1"/>
  <c r="H128" i="36" s="1"/>
  <c r="H129" i="36" s="1"/>
  <c r="H130" i="36" s="1"/>
  <c r="H131" i="36" s="1"/>
  <c r="H132" i="36" s="1"/>
  <c r="H133" i="36" s="1"/>
  <c r="H134" i="36" s="1"/>
  <c r="H135" i="36" s="1"/>
  <c r="H136" i="36" s="1"/>
  <c r="H137" i="36" s="1"/>
  <c r="H138" i="36" s="1"/>
  <c r="H139" i="36" s="1"/>
  <c r="H140" i="36" s="1"/>
  <c r="H141" i="36" s="1"/>
  <c r="H142" i="36" s="1"/>
  <c r="H143" i="36" s="1"/>
  <c r="H144" i="36" s="1"/>
  <c r="H145" i="36" s="1"/>
  <c r="H146" i="36" s="1"/>
  <c r="H147" i="36" s="1"/>
  <c r="H148" i="36" s="1"/>
  <c r="H149" i="36" s="1"/>
  <c r="H150" i="36" s="1"/>
  <c r="H151" i="36" s="1"/>
  <c r="H152" i="36" s="1"/>
  <c r="H153" i="36" s="1"/>
  <c r="H154" i="36" s="1"/>
  <c r="H155" i="36" s="1"/>
  <c r="H156" i="36" s="1"/>
  <c r="H157" i="36" s="1"/>
  <c r="H158" i="36" s="1"/>
  <c r="H159" i="36" s="1"/>
  <c r="H160" i="36" s="1"/>
  <c r="H161" i="36" s="1"/>
  <c r="H162" i="36" s="1"/>
  <c r="H163" i="36" s="1"/>
  <c r="H164" i="36" s="1"/>
  <c r="H165" i="36" s="1"/>
  <c r="H166" i="36" s="1"/>
  <c r="H167" i="36" s="1"/>
  <c r="H168" i="36" s="1"/>
  <c r="H169" i="36" s="1"/>
  <c r="H170" i="36" s="1"/>
  <c r="H171" i="36" s="1"/>
  <c r="H172" i="36" s="1"/>
  <c r="H173" i="36" s="1"/>
  <c r="H174" i="36" s="1"/>
  <c r="H175" i="36" s="1"/>
  <c r="H176" i="36" s="1"/>
  <c r="H177" i="36" s="1"/>
  <c r="H178" i="36" s="1"/>
  <c r="H179" i="36" s="1"/>
  <c r="H180" i="36" s="1"/>
  <c r="H181" i="36" s="1"/>
  <c r="H182" i="36" s="1"/>
  <c r="H183" i="36" s="1"/>
  <c r="H184" i="36" s="1"/>
  <c r="H185" i="36" s="1"/>
  <c r="H186" i="36" s="1"/>
  <c r="H187" i="36" s="1"/>
  <c r="H188" i="36" s="1"/>
  <c r="H189" i="36" s="1"/>
  <c r="H190" i="36" s="1"/>
  <c r="H191" i="36" s="1"/>
  <c r="H192" i="36" s="1"/>
  <c r="H193" i="36" s="1"/>
  <c r="H194" i="36" s="1"/>
  <c r="H195" i="36" s="1"/>
  <c r="H564" i="36"/>
  <c r="H565" i="36" s="1"/>
  <c r="H566" i="36" s="1"/>
  <c r="H222" i="36"/>
  <c r="H223" i="36" s="1"/>
  <c r="H224" i="36" s="1"/>
  <c r="H225" i="36" s="1"/>
  <c r="H226" i="36" s="1"/>
  <c r="H227" i="36" s="1"/>
  <c r="H228" i="36" s="1"/>
  <c r="H229" i="36" s="1"/>
  <c r="H230" i="36" s="1"/>
  <c r="H231" i="36" s="1"/>
  <c r="H232" i="36" s="1"/>
  <c r="H233" i="36" s="1"/>
  <c r="H234" i="36" s="1"/>
  <c r="H235" i="36" s="1"/>
  <c r="H236" i="36" s="1"/>
  <c r="H237" i="36" s="1"/>
  <c r="H238" i="36" s="1"/>
  <c r="H239" i="36" s="1"/>
  <c r="H240" i="36" s="1"/>
  <c r="H241" i="36" s="1"/>
  <c r="H242" i="36" s="1"/>
  <c r="H243" i="36" s="1"/>
  <c r="H244" i="36" s="1"/>
  <c r="H245" i="36" s="1"/>
  <c r="H246" i="36" s="1"/>
  <c r="H247" i="36" s="1"/>
  <c r="H248" i="36" s="1"/>
  <c r="H249" i="36" s="1"/>
  <c r="H250" i="36" s="1"/>
  <c r="H251" i="36" s="1"/>
  <c r="H252" i="36" s="1"/>
  <c r="H253" i="36" s="1"/>
  <c r="H254" i="36" s="1"/>
  <c r="H255" i="36" s="1"/>
  <c r="H256" i="36" s="1"/>
  <c r="H257" i="36" s="1"/>
  <c r="H258" i="36" s="1"/>
  <c r="H259" i="36" s="1"/>
  <c r="H260" i="36" s="1"/>
  <c r="H261" i="36" s="1"/>
  <c r="H262" i="36" s="1"/>
  <c r="H263" i="36" s="1"/>
  <c r="H264" i="36" s="1"/>
  <c r="H265" i="36" s="1"/>
  <c r="H266" i="36" s="1"/>
  <c r="H267" i="36" s="1"/>
  <c r="H268" i="36" s="1"/>
  <c r="H269" i="36" s="1"/>
  <c r="H270" i="36" s="1"/>
  <c r="H271" i="36" s="1"/>
  <c r="H272" i="36" s="1"/>
  <c r="H321" i="36"/>
  <c r="H322" i="36" s="1"/>
  <c r="H323" i="36" s="1"/>
  <c r="H324" i="36" s="1"/>
  <c r="H325" i="36" s="1"/>
  <c r="H326" i="36" s="1"/>
  <c r="H327" i="36" s="1"/>
  <c r="H328" i="36" s="1"/>
  <c r="H329" i="36" s="1"/>
  <c r="H330" i="36" s="1"/>
  <c r="H331" i="36" s="1"/>
  <c r="H332" i="36" s="1"/>
  <c r="H333" i="36" s="1"/>
  <c r="H334" i="36" s="1"/>
  <c r="H335" i="36" s="1"/>
  <c r="H336" i="36" s="1"/>
  <c r="H337" i="36" s="1"/>
  <c r="H338" i="36" s="1"/>
  <c r="H339" i="36" s="1"/>
  <c r="H340" i="36" s="1"/>
  <c r="H341" i="36" s="1"/>
  <c r="H342" i="36" s="1"/>
  <c r="H343" i="36" s="1"/>
  <c r="H344" i="36" s="1"/>
  <c r="H345" i="36" s="1"/>
  <c r="H346" i="36" s="1"/>
  <c r="H347" i="36" s="1"/>
  <c r="H348" i="36" s="1"/>
  <c r="H349" i="36" s="1"/>
  <c r="H350" i="36" s="1"/>
  <c r="H351" i="36" s="1"/>
  <c r="H352" i="36" s="1"/>
  <c r="H353" i="36" s="1"/>
  <c r="H354" i="36" s="1"/>
  <c r="H355" i="36" s="1"/>
  <c r="H356" i="36" s="1"/>
  <c r="H357" i="36" s="1"/>
  <c r="H358" i="36" s="1"/>
  <c r="H359" i="36" s="1"/>
  <c r="H360" i="36" s="1"/>
  <c r="H361" i="36" s="1"/>
  <c r="H362" i="36" s="1"/>
  <c r="H363" i="36" s="1"/>
  <c r="H364" i="36" s="1"/>
  <c r="H365" i="36" s="1"/>
  <c r="H366" i="36" s="1"/>
  <c r="H367" i="36" s="1"/>
  <c r="H368" i="36" s="1"/>
  <c r="H369" i="36" s="1"/>
  <c r="H370" i="36" s="1"/>
  <c r="H371" i="36" s="1"/>
  <c r="H372" i="36" s="1"/>
  <c r="H373" i="36" s="1"/>
  <c r="H374" i="36" s="1"/>
  <c r="H375" i="36" s="1"/>
  <c r="H376" i="36" s="1"/>
  <c r="H377" i="36" s="1"/>
  <c r="H378" i="36" s="1"/>
  <c r="H379" i="36" s="1"/>
  <c r="H380" i="36" s="1"/>
  <c r="H381" i="36" s="1"/>
  <c r="H382" i="36" s="1"/>
  <c r="H383" i="36" s="1"/>
  <c r="H384" i="36" s="1"/>
  <c r="H385" i="36" s="1"/>
  <c r="H386" i="36" s="1"/>
  <c r="H387" i="36" s="1"/>
  <c r="H388" i="36" s="1"/>
  <c r="H389" i="36" s="1"/>
  <c r="H390" i="36" s="1"/>
  <c r="H391" i="36" s="1"/>
  <c r="H392" i="36" s="1"/>
  <c r="H393" i="36" s="1"/>
  <c r="H394" i="36" s="1"/>
  <c r="H395" i="36" s="1"/>
  <c r="H396" i="36" s="1"/>
  <c r="H397" i="36" s="1"/>
  <c r="H398" i="36" s="1"/>
  <c r="H399" i="36" s="1"/>
  <c r="H400" i="36" s="1"/>
  <c r="H401" i="36" s="1"/>
  <c r="H402" i="36" s="1"/>
  <c r="H403" i="36" s="1"/>
  <c r="H404" i="36" s="1"/>
  <c r="H405" i="36" s="1"/>
  <c r="H406" i="36" s="1"/>
  <c r="H407" i="36" s="1"/>
  <c r="H408" i="36" s="1"/>
  <c r="H409" i="36" s="1"/>
  <c r="H410" i="36" s="1"/>
  <c r="H411" i="36" s="1"/>
  <c r="H412" i="36" s="1"/>
  <c r="H413" i="36" s="1"/>
  <c r="D82" i="36"/>
  <c r="E72" i="36"/>
  <c r="E87" i="36" s="1"/>
  <c r="E91" i="36" s="1"/>
  <c r="E96" i="36" s="1"/>
  <c r="E126" i="36" s="1"/>
  <c r="E135" i="36" s="1"/>
  <c r="E140" i="36" s="1"/>
  <c r="E61" i="36"/>
  <c r="D79" i="36"/>
  <c r="D85" i="36"/>
  <c r="D87" i="36" s="1"/>
  <c r="D90" i="36" s="1"/>
  <c r="D91" i="36" s="1"/>
  <c r="D93" i="36" s="1"/>
  <c r="D95" i="36" s="1"/>
  <c r="D84" i="36"/>
  <c r="D96" i="36" l="1"/>
  <c r="D98" i="36"/>
  <c r="D104" i="36" l="1"/>
  <c r="D100" i="36"/>
  <c r="D102" i="36" s="1"/>
  <c r="D109" i="36" l="1"/>
  <c r="D110" i="36" s="1"/>
  <c r="D113" i="36" s="1"/>
  <c r="D115" i="36" s="1"/>
  <c r="D117" i="36" s="1"/>
  <c r="D119" i="36" s="1"/>
  <c r="D121" i="36" s="1"/>
  <c r="D123" i="36" s="1"/>
  <c r="D125" i="36" s="1"/>
  <c r="D128" i="36" s="1"/>
  <c r="D130" i="36" s="1"/>
  <c r="D132" i="36" s="1"/>
  <c r="D135" i="36" s="1"/>
  <c r="D138" i="36" s="1"/>
  <c r="D141" i="36" s="1"/>
  <c r="D144" i="36" s="1"/>
  <c r="D147" i="36" s="1"/>
  <c r="D150" i="36" s="1"/>
  <c r="D153" i="36" s="1"/>
  <c r="D156" i="36" s="1"/>
  <c r="D160" i="36" s="1"/>
  <c r="D106" i="36"/>
  <c r="D165" i="36" l="1"/>
  <c r="D166" i="36" s="1"/>
  <c r="D170" i="36" s="1"/>
  <c r="D171" i="36" s="1"/>
  <c r="D172" i="36" s="1"/>
  <c r="D173" i="36" s="1"/>
  <c r="D174" i="36" s="1"/>
  <c r="D175" i="36" s="1"/>
  <c r="D176" i="36" s="1"/>
  <c r="D177" i="36" s="1"/>
  <c r="D178" i="36" s="1"/>
  <c r="D181" i="36" s="1"/>
  <c r="D182" i="36" s="1"/>
  <c r="D183" i="36" s="1"/>
  <c r="D184" i="36" s="1"/>
  <c r="D185" i="36" s="1"/>
  <c r="D190" i="36" s="1"/>
  <c r="D191" i="36" s="1"/>
  <c r="D192" i="36" s="1"/>
  <c r="D193" i="36" s="1"/>
  <c r="D194" i="36" s="1"/>
  <c r="D196" i="36" s="1"/>
  <c r="D197" i="36" s="1"/>
  <c r="D198" i="36" s="1"/>
  <c r="D201" i="36" s="1"/>
  <c r="D199" i="36" s="1"/>
  <c r="D200" i="36" s="1"/>
  <c r="D202" i="36" s="1"/>
  <c r="D203" i="36" s="1"/>
  <c r="D204" i="36" s="1"/>
  <c r="D205" i="36" s="1"/>
  <c r="D206" i="36" s="1"/>
  <c r="D207" i="36" s="1"/>
  <c r="D208" i="36" s="1"/>
  <c r="D209" i="36" s="1"/>
  <c r="D210" i="36" s="1"/>
  <c r="D212" i="36" s="1"/>
  <c r="D213" i="36" s="1"/>
  <c r="D214" i="36" s="1"/>
  <c r="D215" i="36" s="1"/>
  <c r="D216" i="36" s="1"/>
  <c r="D217" i="36" s="1"/>
  <c r="D218" i="36" s="1"/>
  <c r="D219" i="36" s="1"/>
  <c r="D220" i="36" s="1"/>
  <c r="D221" i="36" s="1"/>
  <c r="D223" i="36" s="1"/>
  <c r="D161" i="36"/>
  <c r="D111" i="36"/>
  <c r="D114" i="36" s="1"/>
  <c r="D116" i="36" s="1"/>
  <c r="D118" i="36" s="1"/>
  <c r="D120" i="36" s="1"/>
  <c r="D122" i="36" s="1"/>
  <c r="D124" i="36" s="1"/>
  <c r="D126" i="36" s="1"/>
  <c r="D129" i="36" s="1"/>
  <c r="D131" i="36" s="1"/>
  <c r="D134" i="36" s="1"/>
  <c r="D137" i="36" s="1"/>
  <c r="D140" i="36" s="1"/>
  <c r="D143" i="36" s="1"/>
  <c r="D146" i="36" s="1"/>
  <c r="D149" i="36" s="1"/>
  <c r="D152" i="36" s="1"/>
  <c r="D155" i="36" s="1"/>
  <c r="D158" i="36" s="1"/>
  <c r="D162" i="36" s="1"/>
  <c r="D164" i="36" s="1"/>
  <c r="D107" i="36"/>
  <c r="D224" i="36" l="1"/>
  <c r="D225" i="36"/>
  <c r="D226" i="36" l="1"/>
  <c r="D227" i="36"/>
  <c r="D228" i="36" l="1"/>
  <c r="D229" i="36"/>
  <c r="D230" i="36" l="1"/>
  <c r="D231" i="36"/>
  <c r="D232" i="36" l="1"/>
  <c r="D233" i="36"/>
  <c r="D234" i="36" s="1"/>
  <c r="D236" i="36" l="1"/>
  <c r="D238" i="36" s="1"/>
  <c r="D240" i="36" s="1"/>
  <c r="D242" i="36" s="1"/>
  <c r="D245" i="36" s="1"/>
  <c r="D247" i="36" s="1"/>
  <c r="D235" i="36"/>
  <c r="D237" i="36" s="1"/>
  <c r="D239" i="36" s="1"/>
  <c r="D241" i="36" s="1"/>
  <c r="D243" i="36" s="1"/>
  <c r="D246" i="36" l="1"/>
  <c r="D244" i="36"/>
  <c r="D248" i="36"/>
  <c r="D250" i="36" s="1"/>
  <c r="D252" i="36" s="1"/>
  <c r="D254" i="36" s="1"/>
  <c r="D256" i="36" s="1"/>
  <c r="D258" i="36" s="1"/>
  <c r="D260" i="36" s="1"/>
  <c r="D262" i="36" s="1"/>
  <c r="D249" i="36"/>
  <c r="D251" i="36" s="1"/>
  <c r="D253" i="36" s="1"/>
  <c r="D255" i="36" s="1"/>
  <c r="D257" i="36" s="1"/>
  <c r="D259" i="36" s="1"/>
  <c r="D261" i="36" s="1"/>
  <c r="D263" i="36" l="1"/>
  <c r="D264" i="36"/>
  <c r="D265" i="36" l="1"/>
  <c r="D266" i="36"/>
  <c r="D267" i="36" l="1"/>
  <c r="D268" i="36"/>
  <c r="D269" i="36" l="1"/>
  <c r="D271" i="36" s="1"/>
  <c r="D270" i="36"/>
  <c r="C28" i="29"/>
  <c r="C27" i="29"/>
  <c r="C26" i="29"/>
  <c r="C25" i="29"/>
  <c r="C24" i="29"/>
  <c r="C23" i="29"/>
  <c r="C22" i="29"/>
  <c r="C21" i="29"/>
  <c r="C20" i="29"/>
  <c r="C19" i="29"/>
  <c r="C18" i="29"/>
  <c r="C17" i="29"/>
  <c r="C16" i="29"/>
  <c r="C15" i="29"/>
  <c r="C14" i="29"/>
  <c r="C13" i="29"/>
  <c r="C12" i="29"/>
  <c r="C11" i="29"/>
  <c r="C10" i="29"/>
  <c r="C9" i="29"/>
  <c r="C8" i="29"/>
  <c r="C7" i="29"/>
  <c r="C6" i="29"/>
  <c r="C5" i="29"/>
  <c r="C4" i="29"/>
  <c r="C3" i="29"/>
  <c r="C2" i="29"/>
  <c r="C1" i="29"/>
  <c r="D272" i="36" l="1"/>
  <c r="D273" i="36"/>
  <c r="C29" i="29"/>
  <c r="C30" i="29" s="1"/>
  <c r="C31" i="29" s="1"/>
  <c r="C33" i="29" s="1"/>
  <c r="D275" i="36" l="1"/>
  <c r="D274" i="36"/>
  <c r="F13" i="28"/>
  <c r="F13" i="27"/>
  <c r="D276" i="36" l="1"/>
  <c r="D285" i="36"/>
  <c r="J23" i="25"/>
  <c r="K23" i="25" s="1"/>
  <c r="K25" i="25" s="1"/>
  <c r="D278" i="36" l="1"/>
  <c r="D287" i="36"/>
  <c r="D277" i="36"/>
  <c r="D279" i="36" s="1"/>
  <c r="D281" i="36" s="1"/>
  <c r="D283" i="36" s="1"/>
  <c r="F13" i="24"/>
  <c r="F13" i="23"/>
  <c r="D297" i="36" l="1"/>
  <c r="D298" i="36"/>
  <c r="D308" i="36" s="1"/>
  <c r="D323" i="36" s="1"/>
  <c r="D280" i="36"/>
  <c r="D289" i="36"/>
  <c r="D299" i="36" s="1"/>
  <c r="D309" i="36" s="1"/>
  <c r="D317" i="36" l="1"/>
  <c r="D324" i="36"/>
  <c r="D291" i="36"/>
  <c r="D290" i="36"/>
  <c r="D282" i="36"/>
  <c r="D333" i="36"/>
  <c r="D343" i="36" s="1"/>
  <c r="D358" i="36" s="1"/>
  <c r="D367" i="36" s="1"/>
  <c r="D381" i="36" s="1"/>
  <c r="D401" i="36" s="1"/>
  <c r="D334" i="36"/>
  <c r="D332" i="36"/>
  <c r="F13" i="22"/>
  <c r="D300" i="36" l="1"/>
  <c r="D301" i="36"/>
  <c r="D292" i="36"/>
  <c r="D302" i="36" s="1"/>
  <c r="D284" i="36"/>
  <c r="D293" i="36"/>
  <c r="D310" i="36" l="1"/>
  <c r="D325" i="36" s="1"/>
  <c r="D335" i="36" s="1"/>
  <c r="D311" i="36"/>
  <c r="D326" i="36" s="1"/>
  <c r="D286" i="36"/>
  <c r="D294" i="36"/>
  <c r="D295" i="36"/>
  <c r="D304" i="36" s="1"/>
  <c r="D303" i="36"/>
  <c r="D306" i="36"/>
  <c r="D315" i="36" s="1"/>
  <c r="D330" i="36" s="1"/>
  <c r="D296" i="36" l="1"/>
  <c r="D288" i="36"/>
  <c r="D312" i="36"/>
  <c r="D313" i="36"/>
  <c r="D327" i="36" s="1"/>
  <c r="D337" i="36"/>
  <c r="D349" i="36" s="1"/>
  <c r="D336" i="36"/>
  <c r="D345" i="36"/>
  <c r="D344" i="36"/>
  <c r="D360" i="36" l="1"/>
  <c r="D369" i="36" s="1"/>
  <c r="D382" i="36" s="1"/>
  <c r="D364" i="36"/>
  <c r="D375" i="36" s="1"/>
  <c r="D359" i="36"/>
  <c r="D368" i="36" s="1"/>
  <c r="D384" i="36" s="1"/>
  <c r="D404" i="36" s="1"/>
  <c r="D348" i="36"/>
  <c r="D346" i="36"/>
  <c r="D305" i="36"/>
  <c r="D314" i="36" s="1"/>
  <c r="D307" i="36"/>
  <c r="D329" i="36" l="1"/>
  <c r="D339" i="36" s="1"/>
  <c r="D351" i="36" s="1"/>
  <c r="D328" i="36"/>
  <c r="D391" i="36"/>
  <c r="D395" i="36"/>
  <c r="D410" i="36" s="1"/>
  <c r="D411" i="36" s="1"/>
  <c r="D412" i="36" s="1"/>
  <c r="D413" i="36" s="1"/>
  <c r="D316" i="36"/>
  <c r="D322" i="36"/>
  <c r="D331" i="36" s="1"/>
  <c r="D341" i="36" l="1"/>
  <c r="D356" i="36" s="1"/>
  <c r="D366" i="36" s="1"/>
  <c r="D377" i="36" s="1"/>
  <c r="D393" i="36" s="1"/>
  <c r="D394" i="36" s="1"/>
  <c r="D342" i="36"/>
  <c r="D414" i="36"/>
  <c r="D416" i="36" s="1"/>
  <c r="D418" i="36" s="1"/>
  <c r="D420" i="36" s="1"/>
  <c r="D422" i="36" s="1"/>
  <c r="D424" i="36" s="1"/>
  <c r="D427" i="36" s="1"/>
  <c r="D430" i="36" s="1"/>
  <c r="D433" i="36" s="1"/>
  <c r="D415" i="36"/>
  <c r="D417" i="36" s="1"/>
  <c r="D419" i="36" s="1"/>
  <c r="D421" i="36" s="1"/>
  <c r="D423" i="36" s="1"/>
  <c r="D340" i="36"/>
  <c r="D338" i="36"/>
  <c r="D425" i="36" l="1"/>
  <c r="D428" i="36" s="1"/>
  <c r="D431" i="36" s="1"/>
  <c r="D434" i="36" s="1"/>
  <c r="D438" i="36" s="1"/>
  <c r="D442" i="36" s="1"/>
  <c r="D446" i="36" s="1"/>
  <c r="D450" i="36" s="1"/>
  <c r="D454" i="36" s="1"/>
  <c r="D458" i="36" s="1"/>
  <c r="D462" i="36" s="1"/>
  <c r="D466" i="36" s="1"/>
  <c r="D472" i="36" s="1"/>
  <c r="D478" i="36" s="1"/>
  <c r="D426" i="36"/>
  <c r="D429" i="36" s="1"/>
  <c r="D432" i="36" s="1"/>
  <c r="D435" i="36" s="1"/>
  <c r="D439" i="36" s="1"/>
  <c r="D443" i="36" s="1"/>
  <c r="D447" i="36" s="1"/>
  <c r="D451" i="36" s="1"/>
  <c r="D455" i="36" s="1"/>
  <c r="D459" i="36" s="1"/>
  <c r="D463" i="36" s="1"/>
  <c r="D467" i="36" s="1"/>
  <c r="D473" i="36" s="1"/>
  <c r="D480" i="36" s="1"/>
  <c r="D489" i="36" s="1"/>
  <c r="D490" i="36" s="1"/>
  <c r="D437" i="36"/>
  <c r="D441" i="36" s="1"/>
  <c r="D445" i="36" s="1"/>
  <c r="D449" i="36" s="1"/>
  <c r="D453" i="36" s="1"/>
  <c r="D457" i="36" s="1"/>
  <c r="D461" i="36" s="1"/>
  <c r="D465" i="36" s="1"/>
  <c r="D436" i="36"/>
  <c r="D440" i="36" s="1"/>
  <c r="D444" i="36" s="1"/>
  <c r="D448" i="36" s="1"/>
  <c r="D452" i="36" s="1"/>
  <c r="D456" i="36" s="1"/>
  <c r="D460" i="36" s="1"/>
  <c r="D464" i="36" s="1"/>
  <c r="D353" i="36"/>
  <c r="D363" i="36" s="1"/>
  <c r="D347" i="36"/>
  <c r="D354" i="36"/>
  <c r="D350" i="36"/>
  <c r="D355" i="36"/>
  <c r="D365" i="36" s="1"/>
  <c r="D352" i="36"/>
  <c r="D471" i="36" l="1"/>
  <c r="D477" i="36" s="1"/>
  <c r="D486" i="36" s="1"/>
  <c r="D469" i="36"/>
  <c r="D475" i="36" s="1"/>
  <c r="D484" i="36" s="1"/>
  <c r="D492" i="36" s="1"/>
  <c r="D496" i="36" s="1"/>
  <c r="D362" i="36"/>
  <c r="D371" i="36" s="1"/>
  <c r="D387" i="36" s="1"/>
  <c r="D406" i="36" s="1"/>
  <c r="D361" i="36"/>
  <c r="D370" i="36" s="1"/>
  <c r="D470" i="36"/>
  <c r="D476" i="36" s="1"/>
  <c r="D485" i="36" s="1"/>
  <c r="D468" i="36"/>
  <c r="D474" i="36" s="1"/>
  <c r="D479" i="36" s="1"/>
  <c r="D488" i="36" s="1"/>
  <c r="D380" i="36"/>
  <c r="D396" i="36" s="1"/>
  <c r="D397" i="36" s="1"/>
  <c r="D398" i="36" s="1"/>
  <c r="D376" i="36"/>
  <c r="D392" i="36" s="1"/>
  <c r="D407" i="36" s="1"/>
  <c r="D408" i="36" s="1"/>
  <c r="D374" i="36"/>
  <c r="D372" i="36"/>
  <c r="D388" i="36" s="1"/>
  <c r="D389" i="36" s="1"/>
  <c r="D405" i="36" s="1"/>
  <c r="D487" i="36"/>
  <c r="D482" i="36"/>
  <c r="D491" i="36" s="1"/>
  <c r="D495" i="36" s="1"/>
  <c r="D386" i="36" l="1"/>
  <c r="D402" i="36" s="1"/>
  <c r="D403" i="36" s="1"/>
  <c r="D383" i="36"/>
  <c r="D399" i="36" s="1"/>
  <c r="D400" i="36" s="1"/>
  <c r="D390" i="36"/>
  <c r="D409" i="36" s="1"/>
  <c r="D385" i="36"/>
  <c r="H4" i="1" l="1"/>
  <c r="H5" i="1" s="1"/>
  <c r="H6" i="1" s="1"/>
  <c r="H7" i="1" s="1"/>
  <c r="H8" i="1" s="1"/>
  <c r="H9" i="1" s="1"/>
  <c r="H10" i="1" s="1"/>
  <c r="H11" i="1" s="1"/>
  <c r="H12" i="1" s="1"/>
  <c r="H13" i="1" s="1"/>
  <c r="H14" i="1" s="1"/>
  <c r="H15" i="1" s="1"/>
  <c r="H16" i="1" s="1"/>
  <c r="H17" i="1" s="1"/>
  <c r="H18" i="1" s="1"/>
  <c r="H19" i="1" s="1"/>
  <c r="H20" i="1" s="1"/>
  <c r="H21" i="1" s="1"/>
  <c r="H22" i="1" s="1"/>
  <c r="H23" i="1" s="1"/>
  <c r="H24" i="1" s="1"/>
  <c r="H25" i="1" s="1"/>
  <c r="H26" i="1" s="1"/>
  <c r="H27" i="1" s="1"/>
  <c r="H28" i="1" s="1"/>
  <c r="H29" i="1" s="1"/>
  <c r="H30" i="1" s="1"/>
  <c r="H31" i="1" s="1"/>
  <c r="H32" i="1" s="1"/>
  <c r="H33" i="1" s="1"/>
  <c r="H34" i="1" s="1"/>
  <c r="H35" i="1" s="1"/>
  <c r="H36" i="1" s="1"/>
  <c r="H37" i="1" s="1"/>
  <c r="H38" i="1" s="1"/>
  <c r="H39" i="1" s="1"/>
  <c r="H40" i="1" s="1"/>
  <c r="H41" i="1" s="1"/>
  <c r="H42" i="1" s="1"/>
  <c r="H43" i="1" s="1"/>
  <c r="H44" i="1" s="1"/>
  <c r="H45" i="1" s="1"/>
  <c r="H46" i="1" s="1"/>
  <c r="H47" i="1" s="1"/>
  <c r="H48" i="1" s="1"/>
  <c r="H49" i="1" s="1"/>
  <c r="H50" i="1" s="1"/>
  <c r="H51" i="1" s="1"/>
  <c r="H52" i="1" s="1"/>
  <c r="H53" i="1" s="1"/>
  <c r="H54" i="1" s="1"/>
  <c r="H55" i="1" s="1"/>
  <c r="H56" i="1" s="1"/>
  <c r="H57" i="1" s="1"/>
  <c r="H58" i="1" s="1"/>
  <c r="H59" i="1" s="1"/>
  <c r="H60" i="1" s="1"/>
  <c r="H61" i="1" s="1"/>
  <c r="H62" i="1" s="1"/>
  <c r="H63" i="1" s="1"/>
  <c r="H64" i="1" s="1"/>
  <c r="H65" i="1" s="1"/>
  <c r="H66" i="1" s="1"/>
  <c r="H67" i="1" s="1"/>
  <c r="H68" i="1" s="1"/>
  <c r="H69" i="1" s="1"/>
  <c r="H70" i="1" s="1"/>
  <c r="H71" i="1" s="1"/>
  <c r="H72" i="1" s="1"/>
  <c r="H73" i="1" s="1"/>
  <c r="H74" i="1" s="1"/>
  <c r="H75" i="1" s="1"/>
  <c r="H76" i="1" s="1"/>
  <c r="H77" i="1" s="1"/>
  <c r="H78" i="1" s="1"/>
  <c r="H79" i="1" s="1"/>
  <c r="H80" i="1" s="1"/>
  <c r="H81" i="1" s="1"/>
  <c r="H82" i="1" s="1"/>
  <c r="H83" i="1" s="1"/>
  <c r="H84" i="1" s="1"/>
  <c r="H85" i="1" s="1"/>
  <c r="H86" i="1" s="1"/>
  <c r="H87" i="1" s="1"/>
  <c r="H88" i="1" s="1"/>
  <c r="H89" i="1" s="1"/>
  <c r="H90" i="1" s="1"/>
  <c r="H91" i="1" s="1"/>
  <c r="H92" i="1" s="1"/>
  <c r="H93" i="1" s="1"/>
  <c r="H94" i="1" s="1"/>
  <c r="H95" i="1" s="1"/>
  <c r="H96" i="1" s="1"/>
  <c r="H97" i="1" s="1"/>
  <c r="H98" i="1" s="1"/>
  <c r="H99" i="1" s="1"/>
  <c r="H100" i="1" s="1"/>
  <c r="H101" i="1" s="1"/>
  <c r="H102" i="1" s="1"/>
  <c r="H103" i="1" s="1"/>
  <c r="H104" i="1" s="1"/>
  <c r="H105" i="1" s="1"/>
  <c r="H106" i="1" s="1"/>
  <c r="H107" i="1" s="1"/>
  <c r="H108" i="1" s="1"/>
  <c r="H109" i="1" s="1"/>
  <c r="H110" i="1" s="1"/>
  <c r="H111" i="1" s="1"/>
  <c r="H112" i="1" s="1"/>
  <c r="H113" i="1" s="1"/>
  <c r="H114" i="1" s="1"/>
  <c r="H115" i="1" s="1"/>
  <c r="H116" i="1" s="1"/>
  <c r="H117" i="1" s="1"/>
  <c r="H118" i="1" s="1"/>
  <c r="H119" i="1" s="1"/>
  <c r="H120" i="1" s="1"/>
  <c r="H121" i="1" s="1"/>
  <c r="H122" i="1" s="1"/>
  <c r="H123" i="1" s="1"/>
  <c r="H124" i="1" s="1"/>
  <c r="H125" i="1" s="1"/>
  <c r="H126" i="1" s="1"/>
  <c r="H127" i="1" s="1"/>
  <c r="H128" i="1" s="1"/>
  <c r="H129" i="1" s="1"/>
  <c r="H130" i="1" s="1"/>
  <c r="H131" i="1" s="1"/>
  <c r="H132" i="1" s="1"/>
  <c r="H133" i="1" s="1"/>
  <c r="H134" i="1" s="1"/>
  <c r="H135" i="1" s="1"/>
  <c r="H136" i="1" s="1"/>
  <c r="H137" i="1" s="1"/>
  <c r="H138" i="1" s="1"/>
  <c r="H139" i="1" s="1"/>
  <c r="H140" i="1" s="1"/>
  <c r="H141" i="1" s="1"/>
  <c r="H142" i="1" s="1"/>
  <c r="H143" i="1" s="1"/>
  <c r="H144" i="1" s="1"/>
  <c r="H145" i="1" s="1"/>
  <c r="H146" i="1" s="1"/>
  <c r="H147" i="1" s="1"/>
  <c r="H148" i="1" s="1"/>
  <c r="H149" i="1" s="1"/>
  <c r="H150" i="1" s="1"/>
  <c r="H151" i="1" s="1"/>
  <c r="H152" i="1" s="1"/>
  <c r="H153" i="1" s="1"/>
  <c r="H154" i="1" s="1"/>
  <c r="H155" i="1" s="1"/>
  <c r="H156" i="1" s="1"/>
  <c r="H157" i="1" s="1"/>
  <c r="H158" i="1" s="1"/>
  <c r="H159" i="1" s="1"/>
  <c r="H160" i="1" s="1"/>
  <c r="H161" i="1" s="1"/>
  <c r="H162" i="1" s="1"/>
  <c r="H163" i="1" s="1"/>
  <c r="H164" i="1" s="1"/>
  <c r="H165" i="1" s="1"/>
  <c r="H166" i="1" s="1"/>
  <c r="H167" i="1" s="1"/>
  <c r="H168" i="1" s="1"/>
  <c r="H169" i="1" s="1"/>
  <c r="H170" i="1" s="1"/>
  <c r="H171" i="1" s="1"/>
  <c r="H172" i="1" l="1"/>
  <c r="H173" i="1" s="1"/>
  <c r="H174" i="1" s="1"/>
  <c r="H175" i="1" s="1"/>
  <c r="H176" i="1" s="1"/>
  <c r="H177" i="1" s="1"/>
  <c r="H178" i="1" s="1"/>
  <c r="H179" i="1" s="1"/>
  <c r="H180" i="1" s="1"/>
  <c r="H181" i="1" s="1"/>
  <c r="H182" i="1" s="1"/>
  <c r="H183" i="1" s="1"/>
  <c r="H184" i="1" s="1"/>
  <c r="H185" i="1" s="1"/>
  <c r="H186" i="1" s="1"/>
  <c r="H187" i="1" s="1"/>
  <c r="H188" i="1" s="1"/>
  <c r="H189" i="1" s="1"/>
  <c r="H190" i="1" s="1"/>
  <c r="H191" i="1" s="1"/>
  <c r="H192" i="1" s="1"/>
  <c r="H193" i="1" s="1"/>
  <c r="H194" i="1" s="1"/>
  <c r="H195" i="1" s="1"/>
  <c r="H196" i="1" s="1"/>
  <c r="H197" i="1" s="1"/>
  <c r="H198" i="1" s="1"/>
  <c r="H199" i="1" s="1"/>
  <c r="H200" i="1" s="1"/>
  <c r="H201" i="1" s="1"/>
  <c r="H202" i="1" s="1"/>
  <c r="H203" i="1" s="1"/>
  <c r="H204" i="1" s="1"/>
  <c r="H205" i="1" s="1"/>
  <c r="H206" i="1" s="1"/>
  <c r="H207" i="1" s="1"/>
  <c r="H208" i="1" s="1"/>
  <c r="H209" i="1" s="1"/>
  <c r="H210" i="1" s="1"/>
  <c r="H211" i="1" s="1"/>
  <c r="H212" i="1" s="1"/>
  <c r="H213" i="1" s="1"/>
  <c r="H214" i="1" s="1"/>
  <c r="H215" i="1" s="1"/>
  <c r="H216" i="1" s="1"/>
  <c r="H217" i="1" s="1"/>
  <c r="H218" i="1" s="1"/>
  <c r="H219" i="1" s="1"/>
  <c r="H220" i="1" s="1"/>
  <c r="H221" i="1" s="1"/>
  <c r="H222" i="1" s="1"/>
  <c r="H223" i="1" s="1"/>
  <c r="H224" i="1" s="1"/>
  <c r="H225" i="1" s="1"/>
  <c r="H226" i="1" s="1"/>
  <c r="H227" i="1" s="1"/>
  <c r="H228" i="1" s="1"/>
  <c r="H229" i="1" s="1"/>
  <c r="H230" i="1" s="1"/>
  <c r="H231" i="1" s="1"/>
  <c r="H232" i="1" s="1"/>
  <c r="H233" i="1" s="1"/>
  <c r="H234" i="1" s="1"/>
  <c r="H235" i="1" s="1"/>
  <c r="H236" i="1" s="1"/>
  <c r="H237" i="1" s="1"/>
  <c r="H238" i="1" s="1"/>
  <c r="H239" i="1" s="1"/>
  <c r="H240" i="1" s="1"/>
  <c r="H241" i="1" s="1"/>
  <c r="H242" i="1" s="1"/>
  <c r="H243" i="1" s="1"/>
  <c r="H244" i="1" s="1"/>
  <c r="H245" i="1" s="1"/>
  <c r="H246" i="1" s="1"/>
  <c r="H247" i="1" s="1"/>
  <c r="H248" i="1" s="1"/>
  <c r="H249" i="1" s="1"/>
  <c r="H250" i="1" s="1"/>
  <c r="H251" i="1" s="1"/>
  <c r="H252" i="1" s="1"/>
  <c r="H253" i="1" s="1"/>
  <c r="H254" i="1" s="1"/>
  <c r="H255" i="1" s="1"/>
  <c r="H256" i="1" s="1"/>
  <c r="H257" i="1" s="1"/>
  <c r="H258" i="1" s="1"/>
  <c r="H259" i="1" s="1"/>
  <c r="H260" i="1" s="1"/>
  <c r="H261" i="1" s="1"/>
  <c r="H262" i="1" s="1"/>
  <c r="H263" i="1" s="1"/>
  <c r="H264" i="1" s="1"/>
  <c r="H265" i="1" s="1"/>
  <c r="H266" i="1" s="1"/>
  <c r="H267" i="1" s="1"/>
  <c r="H268" i="1" s="1"/>
  <c r="H269" i="1" s="1"/>
  <c r="H270" i="1" s="1"/>
  <c r="H271" i="1" s="1"/>
  <c r="H272" i="1" s="1"/>
  <c r="H273" i="1" s="1"/>
  <c r="H274" i="1" s="1"/>
  <c r="H275" i="1" s="1"/>
  <c r="H276" i="1" s="1"/>
  <c r="H277" i="1" s="1"/>
  <c r="H278" i="1" s="1"/>
  <c r="H279" i="1" s="1"/>
  <c r="H280" i="1" s="1"/>
  <c r="H281" i="1" s="1"/>
  <c r="H282" i="1" s="1"/>
  <c r="H283" i="1" s="1"/>
  <c r="H284" i="1" s="1"/>
  <c r="H285" i="1" s="1"/>
  <c r="H286" i="1" s="1"/>
  <c r="H287" i="1" s="1"/>
  <c r="H288" i="1" s="1"/>
  <c r="H289" i="1" s="1"/>
  <c r="H290" i="1" s="1"/>
  <c r="H291" i="1" s="1"/>
  <c r="H292" i="1" s="1"/>
  <c r="H293" i="1" s="1"/>
  <c r="H294" i="1" s="1"/>
  <c r="H295" i="1" s="1"/>
  <c r="H296" i="1" s="1"/>
  <c r="H297" i="1" s="1"/>
  <c r="H298" i="1" s="1"/>
  <c r="H299" i="1" s="1"/>
  <c r="H300" i="1" s="1"/>
  <c r="H301" i="1" s="1"/>
  <c r="H302" i="1" s="1"/>
  <c r="H303" i="1" s="1"/>
  <c r="H304" i="1" s="1"/>
  <c r="H305" i="1" s="1"/>
  <c r="H306" i="1" s="1"/>
  <c r="H307" i="1" s="1"/>
  <c r="H308" i="1" s="1"/>
  <c r="H309" i="1" s="1"/>
  <c r="H310" i="1" s="1"/>
  <c r="H311" i="1" s="1"/>
  <c r="H312" i="1" s="1"/>
  <c r="H313" i="1" s="1"/>
  <c r="H314" i="1" s="1"/>
  <c r="H315" i="1" s="1"/>
  <c r="H316" i="1" s="1"/>
  <c r="H317" i="1" s="1"/>
  <c r="H318" i="1" s="1"/>
  <c r="H319" i="1" s="1"/>
  <c r="H320" i="1" s="1"/>
  <c r="H321" i="1" s="1"/>
  <c r="H322" i="1" s="1"/>
  <c r="H323" i="1" s="1"/>
  <c r="H324" i="1" s="1"/>
  <c r="H325" i="1" s="1"/>
  <c r="H326" i="1" s="1"/>
  <c r="H327" i="1" s="1"/>
  <c r="H328" i="1" s="1"/>
  <c r="H329" i="1" s="1"/>
  <c r="H330" i="1" s="1"/>
  <c r="H331" i="1" s="1"/>
  <c r="H332" i="1" s="1"/>
  <c r="H333" i="1" s="1"/>
  <c r="H334" i="1" s="1"/>
  <c r="H335" i="1" s="1"/>
  <c r="H336" i="1" s="1"/>
  <c r="H337" i="1" s="1"/>
  <c r="H338" i="1" s="1"/>
  <c r="H339" i="1" s="1"/>
  <c r="H340" i="1" s="1"/>
  <c r="H341" i="1" s="1"/>
  <c r="H342" i="1" s="1"/>
  <c r="H343" i="1" s="1"/>
  <c r="H344" i="1" s="1"/>
  <c r="H345" i="1" s="1"/>
  <c r="H346" i="1" s="1"/>
  <c r="H347" i="1" s="1"/>
  <c r="H348" i="1" s="1"/>
  <c r="H349" i="1" s="1"/>
  <c r="H350" i="1" s="1"/>
  <c r="H351" i="1" s="1"/>
  <c r="H352" i="1" s="1"/>
  <c r="H353" i="1" s="1"/>
  <c r="H354" i="1" s="1"/>
  <c r="H355" i="1" s="1"/>
  <c r="H356" i="1" s="1"/>
  <c r="H357" i="1" s="1"/>
  <c r="H358" i="1" s="1"/>
  <c r="H359" i="1" s="1"/>
  <c r="H360" i="1" s="1"/>
  <c r="H361" i="1" s="1"/>
  <c r="H362" i="1" s="1"/>
  <c r="H363" i="1" s="1"/>
  <c r="H364" i="1" s="1"/>
  <c r="H365" i="1" s="1"/>
  <c r="H366" i="1" s="1"/>
  <c r="H367" i="1" s="1"/>
  <c r="H368" i="1" s="1"/>
  <c r="H369" i="1" s="1"/>
  <c r="H370" i="1" s="1"/>
  <c r="H371" i="1" s="1"/>
  <c r="H372" i="1" s="1"/>
  <c r="H373" i="1" s="1"/>
  <c r="H374" i="1" s="1"/>
  <c r="H375" i="1" s="1"/>
  <c r="H376" i="1" s="1"/>
  <c r="H377" i="1" s="1"/>
  <c r="H378" i="1" s="1"/>
  <c r="H379" i="1" s="1"/>
  <c r="H380" i="1" s="1"/>
  <c r="H381" i="1" s="1"/>
  <c r="H382" i="1" s="1"/>
  <c r="H383" i="1" s="1"/>
  <c r="H384" i="1" s="1"/>
  <c r="H385" i="1" s="1"/>
  <c r="H386" i="1" s="1"/>
  <c r="H387" i="1" s="1"/>
  <c r="H388" i="1" s="1"/>
  <c r="H389" i="1" s="1"/>
  <c r="H390" i="1" s="1"/>
  <c r="H391" i="1" s="1"/>
  <c r="H392" i="1" s="1"/>
  <c r="H393" i="1" s="1"/>
  <c r="H394" i="1" s="1"/>
  <c r="H395" i="1" s="1"/>
  <c r="H396" i="1" s="1"/>
  <c r="H397" i="1" s="1"/>
  <c r="H398" i="1" s="1"/>
  <c r="H399" i="1" s="1"/>
  <c r="H400" i="1" s="1"/>
  <c r="H401" i="1" s="1"/>
  <c r="H402" i="1" s="1"/>
  <c r="H403" i="1" s="1"/>
  <c r="H404" i="1" s="1"/>
  <c r="H405" i="1" s="1"/>
  <c r="H406" i="1" s="1"/>
  <c r="H407" i="1" s="1"/>
  <c r="H408" i="1" s="1"/>
  <c r="H409" i="1" s="1"/>
  <c r="H410" i="1" s="1"/>
  <c r="H411" i="1" s="1"/>
  <c r="H412" i="1" s="1"/>
  <c r="H413" i="1" s="1"/>
  <c r="H414" i="1" s="1"/>
  <c r="H415" i="1" s="1"/>
  <c r="H416" i="1" s="1"/>
  <c r="H417" i="1" s="1"/>
  <c r="H418" i="1" s="1"/>
  <c r="H419" i="1" s="1"/>
  <c r="H420" i="1" s="1"/>
  <c r="H421" i="1" s="1"/>
  <c r="H422" i="1" s="1"/>
  <c r="H423" i="1" s="1"/>
  <c r="H424" i="1" s="1"/>
  <c r="H425" i="1" s="1"/>
  <c r="H426" i="1" s="1"/>
  <c r="H427" i="1" s="1"/>
  <c r="H428" i="1" s="1"/>
  <c r="H429" i="1" s="1"/>
  <c r="H430" i="1" s="1"/>
  <c r="H431" i="1" s="1"/>
  <c r="H432" i="1" s="1"/>
  <c r="H433" i="1" s="1"/>
  <c r="H434" i="1" s="1"/>
  <c r="H435" i="1" s="1"/>
  <c r="H436" i="1" s="1"/>
  <c r="H437" i="1" s="1"/>
  <c r="H438" i="1" s="1"/>
  <c r="H439" i="1" s="1"/>
  <c r="H440" i="1" s="1"/>
  <c r="H441" i="1" s="1"/>
  <c r="H442" i="1" s="1"/>
  <c r="H443" i="1" s="1"/>
  <c r="H444" i="1" s="1"/>
  <c r="H445" i="1" s="1"/>
  <c r="H446" i="1" s="1"/>
  <c r="H447" i="1" s="1"/>
  <c r="H448" i="1" s="1"/>
  <c r="H449" i="1" s="1"/>
  <c r="H450" i="1" s="1"/>
  <c r="H451" i="1" s="1"/>
  <c r="H452" i="1" s="1"/>
  <c r="H453" i="1" s="1"/>
  <c r="H454" i="1" s="1"/>
  <c r="H455" i="1" s="1"/>
  <c r="H456" i="1" s="1"/>
  <c r="H457" i="1" s="1"/>
  <c r="H458" i="1" s="1"/>
  <c r="H459" i="1" s="1"/>
  <c r="H460" i="1" s="1"/>
  <c r="H461" i="1" s="1"/>
  <c r="H462" i="1" s="1"/>
  <c r="H463" i="1" s="1"/>
  <c r="H464" i="1" s="1"/>
  <c r="H465" i="1" s="1"/>
  <c r="H466" i="1" s="1"/>
  <c r="H467" i="1" s="1"/>
  <c r="H468" i="1" s="1"/>
  <c r="H469" i="1" s="1"/>
  <c r="H470" i="1" s="1"/>
  <c r="H471" i="1" s="1"/>
  <c r="H472" i="1" s="1"/>
  <c r="H473" i="1" s="1"/>
  <c r="H474" i="1" s="1"/>
  <c r="H475" i="1" s="1"/>
  <c r="H476" i="1" s="1"/>
  <c r="H477" i="1" s="1"/>
  <c r="H478" i="1" s="1"/>
  <c r="H479" i="1" s="1"/>
  <c r="H480" i="1" s="1"/>
  <c r="H481" i="1" s="1"/>
  <c r="H482" i="1" s="1"/>
  <c r="H483" i="1" s="1"/>
  <c r="H484" i="1" s="1"/>
  <c r="H485" i="1" s="1"/>
  <c r="H486" i="1" s="1"/>
  <c r="H487" i="1" s="1"/>
  <c r="H488" i="1" s="1"/>
  <c r="H489" i="1" s="1"/>
  <c r="H490" i="1" s="1"/>
  <c r="H491" i="1" s="1"/>
  <c r="H492" i="1" s="1"/>
  <c r="H493" i="1" s="1"/>
  <c r="H494" i="1" s="1"/>
  <c r="H495" i="1" s="1"/>
  <c r="H496" i="1" s="1"/>
  <c r="H497" i="1" s="1"/>
  <c r="H498" i="1" s="1"/>
  <c r="H499" i="1" s="1"/>
  <c r="H500" i="1" l="1"/>
  <c r="H501" i="1" s="1"/>
  <c r="H502" i="1" s="1"/>
  <c r="H503" i="1" l="1"/>
  <c r="H504" i="1" s="1"/>
  <c r="H505" i="1" s="1"/>
  <c r="H506" i="1" l="1"/>
  <c r="H507" i="1" s="1"/>
  <c r="H508" i="1" s="1"/>
  <c r="H509" i="1" s="1"/>
  <c r="H510" i="1" s="1"/>
  <c r="H511" i="1" s="1"/>
  <c r="H512" i="1" s="1"/>
  <c r="H513" i="1" s="1"/>
  <c r="H514" i="1" l="1"/>
  <c r="H515" i="1" s="1"/>
  <c r="H516" i="1" s="1"/>
  <c r="H517" i="1" s="1"/>
  <c r="H518" i="1" s="1"/>
  <c r="H519" i="1" s="1"/>
  <c r="H520" i="1" s="1"/>
  <c r="H521" i="1" s="1"/>
  <c r="H522" i="1" s="1"/>
  <c r="H523" i="1" l="1"/>
  <c r="H524" i="1" s="1"/>
  <c r="H525" i="1" s="1"/>
  <c r="H526" i="1" s="1"/>
  <c r="H527" i="1" s="1"/>
  <c r="H528" i="1" s="1"/>
  <c r="H529" i="1" s="1"/>
  <c r="H530" i="1" s="1"/>
  <c r="H531" i="1" s="1"/>
  <c r="H532" i="1" s="1"/>
  <c r="H533" i="1" l="1"/>
  <c r="H534" i="1" s="1"/>
  <c r="H535" i="1" s="1"/>
  <c r="H536" i="1" s="1"/>
  <c r="H537" i="1" s="1"/>
  <c r="H538" i="1" s="1"/>
  <c r="H539" i="1" s="1"/>
  <c r="H540" i="1" s="1"/>
  <c r="H541" i="1" s="1"/>
  <c r="H542" i="1" s="1"/>
  <c r="H543" i="1" s="1"/>
  <c r="H544" i="1" s="1"/>
  <c r="H545" i="1" s="1"/>
  <c r="H546" i="1" s="1"/>
  <c r="H547" i="1" s="1"/>
  <c r="H548" i="1" s="1"/>
  <c r="H549" i="1" s="1"/>
  <c r="H550" i="1" s="1"/>
  <c r="H551" i="1" s="1"/>
  <c r="H552" i="1" s="1"/>
  <c r="H553" i="1" s="1"/>
  <c r="H554" i="1" s="1"/>
  <c r="H555" i="1" s="1"/>
  <c r="H556" i="1" s="1"/>
  <c r="H557" i="1" l="1"/>
  <c r="H558" i="1" s="1"/>
  <c r="H559" i="1" s="1"/>
  <c r="H560" i="1" s="1"/>
  <c r="H561" i="1" s="1"/>
  <c r="H562" i="1" s="1"/>
  <c r="H563" i="1" s="1"/>
  <c r="H564" i="1" s="1"/>
  <c r="H565" i="1" s="1"/>
  <c r="H566" i="1" s="1"/>
  <c r="H567" i="1" s="1"/>
  <c r="H568" i="1" s="1"/>
  <c r="H569" i="1" s="1"/>
  <c r="H570" i="1" s="1"/>
  <c r="H571" i="1" s="1"/>
  <c r="H572" i="1" s="1"/>
  <c r="H573" i="1" s="1"/>
  <c r="H574" i="1" s="1"/>
  <c r="H575" i="1" s="1"/>
  <c r="H576" i="1" s="1"/>
  <c r="H577" i="1" s="1"/>
  <c r="H578" i="1" s="1"/>
  <c r="H579" i="1" s="1"/>
  <c r="H580" i="1" s="1"/>
  <c r="H581" i="1" s="1"/>
  <c r="H582" i="1" s="1"/>
  <c r="H583" i="1" s="1"/>
  <c r="H584" i="1" s="1"/>
  <c r="H585" i="1" s="1"/>
  <c r="H586" i="1" s="1"/>
  <c r="H587" i="1" s="1"/>
  <c r="H588" i="1" s="1"/>
  <c r="H589" i="1" s="1"/>
  <c r="H590" i="1" s="1"/>
  <c r="H591" i="1" s="1"/>
  <c r="H592" i="1" s="1"/>
  <c r="H593" i="1" s="1"/>
  <c r="H594" i="1" s="1"/>
  <c r="H595" i="1" s="1"/>
  <c r="H596" i="1" l="1"/>
  <c r="H597" i="1" s="1"/>
  <c r="H598" i="1" l="1"/>
  <c r="H599" i="1" s="1"/>
  <c r="H600" i="1" s="1"/>
  <c r="H601" i="1" l="1"/>
  <c r="H602" i="1" s="1"/>
  <c r="H603" i="1" s="1"/>
  <c r="H604" i="1" s="1"/>
  <c r="H605" i="1" s="1"/>
  <c r="H606" i="1" s="1"/>
  <c r="H607" i="1" s="1"/>
  <c r="H608" i="1" s="1"/>
  <c r="H609" i="1" s="1"/>
  <c r="H610" i="1" s="1"/>
  <c r="H611" i="1" s="1"/>
  <c r="H612" i="1" s="1"/>
  <c r="H613" i="1" s="1"/>
  <c r="H614" i="1" s="1"/>
  <c r="H615" i="1" s="1"/>
  <c r="H616" i="1" s="1"/>
  <c r="H617" i="1" s="1"/>
  <c r="H618" i="1" s="1"/>
  <c r="H619" i="1" s="1"/>
  <c r="H620" i="1" s="1"/>
  <c r="H621" i="1" s="1"/>
  <c r="H622" i="1" s="1"/>
  <c r="H623" i="1" s="1"/>
  <c r="H624" i="1" l="1"/>
  <c r="H625" i="1" s="1"/>
  <c r="H626" i="1" s="1"/>
  <c r="H627" i="1" s="1"/>
  <c r="H628" i="1" s="1"/>
  <c r="H629" i="1" s="1"/>
  <c r="H630" i="1" s="1"/>
  <c r="H631" i="1" s="1"/>
  <c r="H632" i="1" s="1"/>
  <c r="H633" i="1" s="1"/>
  <c r="H634" i="1" s="1"/>
  <c r="H635" i="1" s="1"/>
  <c r="H636" i="1" s="1"/>
  <c r="H637" i="1" s="1"/>
  <c r="H638" i="1" s="1"/>
  <c r="H639" i="1" s="1"/>
  <c r="H640" i="1" s="1"/>
  <c r="H641" i="1" s="1"/>
  <c r="H642" i="1" s="1"/>
  <c r="H643" i="1" s="1"/>
  <c r="H644" i="1" s="1"/>
  <c r="H645" i="1" s="1"/>
  <c r="H646" i="1" s="1"/>
  <c r="H647" i="1" s="1"/>
  <c r="H648" i="1" s="1"/>
  <c r="H649" i="1" s="1"/>
  <c r="H650" i="1" s="1"/>
  <c r="H651" i="1" s="1"/>
  <c r="H652" i="1" s="1"/>
  <c r="H653" i="1" s="1"/>
  <c r="H654" i="1" s="1"/>
  <c r="H655" i="1" s="1"/>
  <c r="H656" i="1" s="1"/>
  <c r="H657" i="1" s="1"/>
  <c r="H658" i="1" s="1"/>
  <c r="H659" i="1" s="1"/>
  <c r="H660" i="1" s="1"/>
  <c r="H661" i="1" s="1"/>
  <c r="H662" i="1" s="1"/>
  <c r="H663" i="1" s="1"/>
  <c r="H664" i="1" s="1"/>
  <c r="H665" i="1" s="1"/>
  <c r="H666" i="1" s="1"/>
  <c r="H667" i="1" s="1"/>
  <c r="H668" i="1" s="1"/>
  <c r="H669" i="1" s="1"/>
  <c r="H670" i="1" s="1"/>
  <c r="H671" i="1" s="1"/>
  <c r="H672" i="1" s="1"/>
  <c r="H673" i="1" s="1"/>
  <c r="H674" i="1" l="1"/>
  <c r="H675" i="1" s="1"/>
  <c r="H676" i="1" s="1"/>
  <c r="H677" i="1" s="1"/>
  <c r="H678" i="1" s="1"/>
  <c r="H679" i="1" l="1"/>
  <c r="H680" i="1" s="1"/>
  <c r="H681" i="1" s="1"/>
  <c r="H682" i="1" s="1"/>
  <c r="H683" i="1" s="1"/>
  <c r="H684" i="1" s="1"/>
  <c r="H685" i="1" s="1"/>
  <c r="H686" i="1" s="1"/>
  <c r="H687" i="1" s="1"/>
  <c r="H688" i="1" s="1"/>
  <c r="H689" i="1" s="1"/>
  <c r="H690" i="1" s="1"/>
  <c r="H691" i="1" s="1"/>
  <c r="H692" i="1" s="1"/>
  <c r="H693" i="1" s="1"/>
  <c r="H694" i="1" s="1"/>
  <c r="H695" i="1" s="1"/>
  <c r="H696" i="1" s="1"/>
  <c r="H697" i="1" s="1"/>
  <c r="H698" i="1" s="1"/>
  <c r="H699" i="1" s="1"/>
  <c r="H700" i="1" s="1"/>
  <c r="H701" i="1" s="1"/>
  <c r="H702" i="1" s="1"/>
</calcChain>
</file>

<file path=xl/sharedStrings.xml><?xml version="1.0" encoding="utf-8"?>
<sst xmlns="http://schemas.openxmlformats.org/spreadsheetml/2006/main" count="7580" uniqueCount="3253">
  <si>
    <t>ردیف</t>
  </si>
  <si>
    <t>تاریخ</t>
  </si>
  <si>
    <t>شماره چک</t>
  </si>
  <si>
    <t>مبلغ ورود</t>
  </si>
  <si>
    <t>مبلغ خروج</t>
  </si>
  <si>
    <t>مانده</t>
  </si>
  <si>
    <t>شرکت آدیش جنوبی (سهامی خاص)</t>
  </si>
  <si>
    <t>دستور پرداخت</t>
  </si>
  <si>
    <t>تاریخ اعلامیه:</t>
  </si>
  <si>
    <t>شماره اعلامیه:</t>
  </si>
  <si>
    <t>وضعیت اعلامیه:</t>
  </si>
  <si>
    <t>ریال</t>
  </si>
  <si>
    <t>بابت:</t>
  </si>
  <si>
    <t>در وجه:</t>
  </si>
  <si>
    <t>پرداخت گردید.</t>
  </si>
  <si>
    <t>شماره چک:</t>
  </si>
  <si>
    <t>تاریخ چک:</t>
  </si>
  <si>
    <t>شماره حساب بانکی:</t>
  </si>
  <si>
    <t>در وجه</t>
  </si>
  <si>
    <t>بابت</t>
  </si>
  <si>
    <t>تهیه کننده:</t>
  </si>
  <si>
    <t>تایید کننده:</t>
  </si>
  <si>
    <t>تصویب کننده:</t>
  </si>
  <si>
    <t>بدینوسیله وصول چک فوق تایید می گردد:</t>
  </si>
  <si>
    <t>نام و نام خانوادگی:</t>
  </si>
  <si>
    <t>مهر و امضا:</t>
  </si>
  <si>
    <t>پرداخت بابت افتتاح حساب</t>
  </si>
  <si>
    <t>بانک اقتصاد نوین- حساب شماره 1-5278624-2-215</t>
  </si>
  <si>
    <t>96/03/08</t>
  </si>
  <si>
    <t xml:space="preserve">پرداخت حقوق و دستمزد کارکنان شرکت پالایش میعانات گازی آدیش جنوبی
 طبق لیست </t>
  </si>
  <si>
    <t>حواله ساتنا به حساب IR090120010000004353534666  نزد بانک ملت به نام آقای سید محمد طباطبایی بابت خرید یک دستگاه کامپیوتر اداری از فروشگاه رایان نگار</t>
  </si>
  <si>
    <t>حواله ساتنا به حساب IR440120020000005715330360 نزد بانک ملت به نام آقای محسن خستو بابت شارژ تنخواه</t>
  </si>
  <si>
    <t xml:space="preserve">حواله ساتنا به حساب IR730540103080021246062005 نزد بانک پارسیان به نام آقای محمد حامد اشراقی بابت قرارداد شماره 96/01/ آد / ق م </t>
  </si>
  <si>
    <t xml:space="preserve">حواله ساتنا به حساب IR070540105880020619390008 نزد بانک پارسیان به نام آقای بهروز علیاری بابت قرارداد شماره 96/02/ آد / ق م </t>
  </si>
  <si>
    <t>بانک اقتصاد نوین</t>
  </si>
  <si>
    <t xml:space="preserve">انتقال از تنخواه </t>
  </si>
  <si>
    <t>انتقال از بانک صنعت و معدن</t>
  </si>
  <si>
    <t>96/03/09</t>
  </si>
  <si>
    <t>کارمزد</t>
  </si>
  <si>
    <t>96/02/06</t>
  </si>
  <si>
    <t>96/03/23</t>
  </si>
  <si>
    <t>حواله ساتنا به حساب IR10012001000000 3214 9833 74 نزد بانک ملت به نام خانم آوا عابدی</t>
  </si>
  <si>
    <t>96/04/11</t>
  </si>
  <si>
    <t>کارمزد پرداخت حقوق</t>
  </si>
  <si>
    <t>بابت پشتیبانی همکاران سیستم</t>
  </si>
  <si>
    <t>96/04/12</t>
  </si>
  <si>
    <t>96/04/13</t>
  </si>
  <si>
    <t>کارمزد صدور دسته چک</t>
  </si>
  <si>
    <t>96/04/15</t>
  </si>
  <si>
    <t>حواله ساتنا به حساب IR090120010000004353534666  نزد بانک ملت به نام آقای سید محمد طباطبایی بابت فاکتور شماره 42079 فروشگاه رایان نگار به تاریخ 96/4/13</t>
  </si>
  <si>
    <t>96/04/18</t>
  </si>
  <si>
    <t xml:space="preserve">حواله ساتنا به حساب IR290120000000003980200865  نزد بانک ملت به نام شرکت کاربین بهبرد بابت فاکتور شماره 0361 </t>
  </si>
  <si>
    <t xml:space="preserve">حواله ساتنا به حساب IR290120020000005511133214 نزد بانک ملت به نام شرکت راهکار برتر آراد پایا بابت پیش پرداخت قرارداد شماره APS-C-0121 مورخ 96/04/03 </t>
  </si>
  <si>
    <t>حواله ساتنا به حساب IR710170000000100778945006 نزد بانک ملی به نام آقای امیر حسین شاملو بابت فاکتور شماره 1377 مبلمان اداری نوژن</t>
  </si>
  <si>
    <t>96/04/19</t>
  </si>
  <si>
    <t>96/04/28</t>
  </si>
  <si>
    <t>واریز به شماره حساب 2110100714007نزد بانک ملی شعبه امانیه کد222بنام مالیات حقوق بخش خصوصی شمال تهران جهت پرداخت مالیات حقوق خرداد ماه در وجه سازمان امور مالیاتی، واحد 401623</t>
  </si>
  <si>
    <t>واریز به شماره حساب 1-5942278-800-215 به نام خانم رقیه محمودی فخرآباد و شماره حساب 1-5942198-800-215 به نام خانم زینب امین زاده نزد آن بانک بابت پاداش تهیه گزارش مالی سالیانه و اظهارنامه مالیاتی</t>
  </si>
  <si>
    <t>واریز از تنخواه</t>
  </si>
  <si>
    <t>شارژ تنخواه</t>
  </si>
  <si>
    <t>96/05/01</t>
  </si>
  <si>
    <t xml:space="preserve">حواله ساتنا به حساب IR730540103080021246062005 نزد بانک پارسیان به نام آقای محمد حامد اشراقی بابت تسویه قرارداد شماره 96/01/ آد / ق م </t>
  </si>
  <si>
    <t>96/05/02</t>
  </si>
  <si>
    <t>96/05/04</t>
  </si>
  <si>
    <t>96/05/07</t>
  </si>
  <si>
    <t xml:space="preserve">پرداخت حقوق و دستمزد کارکنان شرکت پالایش میعانات گازی آدیش جنوبی طبق لیست </t>
  </si>
  <si>
    <t>96/05/18</t>
  </si>
  <si>
    <t>96/05/16</t>
  </si>
  <si>
    <t>96/05/28</t>
  </si>
  <si>
    <t>96/05/29</t>
  </si>
  <si>
    <t xml:space="preserve">واریز به حساب متمرکز اداره کل امور مالی کد 8150 نزد بانک ملی بنام سازمان تامین اجتماعی جهت پرداخت حق بیمه تیرماه 96 در شعبه بیست و پنج تهران </t>
  </si>
  <si>
    <t>واریز به شماره حساب 2110100714007نزد بانک ملی شعبه امانیه کد222بنام مالیات حقوق بخش خصوصی شمال تهران جهت پرداخت مالیات حقوق تیر ماه و الحاقیه آن در وجه سازمان امور مالیاتی، واحد 401623</t>
  </si>
  <si>
    <t>واریز به شماره حساب  2110101614003  به نام اداره کل امور مالیاتی جهت پرداخت مالیات حقوق تیر ماه 96، واحد 881521</t>
  </si>
  <si>
    <t>واریز به شماره حساب  2110100721007 جهت پرداخت حق تمبر افزایش سرمایه سال 96</t>
  </si>
  <si>
    <t>96/06/05</t>
  </si>
  <si>
    <t>تناوب</t>
  </si>
  <si>
    <t>96/06/12</t>
  </si>
  <si>
    <t>زیرساخت فراگیر پالایشی سیراف</t>
  </si>
  <si>
    <t>حواله ساتنا به حساب IR980120020000001172721418 نزد بانک ملت به نام آقای بهنام شانه ساز</t>
  </si>
  <si>
    <t>96/06/19</t>
  </si>
  <si>
    <t>حواله ساتنا به حسابIR240180000000000023127660  نزد بانک تجارت به نام شرکت مهندسین مشاور پی کاو بابت پیش پرداخت قرارداد شماره ADISH-E-CO_CV-001 مورخ شهریور 96</t>
  </si>
  <si>
    <t>96/06/20</t>
  </si>
  <si>
    <t>حواله ساتنا به حساب شماره IR 840570039986011857122101
 نزد بانک پاسارگاد به نام شرکت زیر ساخت فراگیر پالایشی سیراف بابت بخشی از افزایش سرمایه</t>
  </si>
  <si>
    <t>حواله ساتنا به حساب شماره IR 100570020781000028904001
 نزد بانک پاسارگاد به نام مدبران مستقل بابت صورتحساب شماره 5898/3 مورخ 96/03/30</t>
  </si>
  <si>
    <t>96/06/26</t>
  </si>
  <si>
    <t>96/06/29</t>
  </si>
  <si>
    <t xml:space="preserve">واریز به حساب متمرکز اداره کل امور مالی کد 8150 نزد بانک ملی بنام سازمان تامین اجتماعی جهت پرداخت حق بیمه مرداد ماه 96 در شعبه بیست و پنج تهران </t>
  </si>
  <si>
    <t>96/07/01</t>
  </si>
  <si>
    <t xml:space="preserve">حواله ساتنا به حساب IR290120020000005511133214 نزد بانک ملت به نام شرکت راهکار برتر آراد پایا بابت قرارداد شماره APS-C-0121 مورخ 96/04/03 </t>
  </si>
  <si>
    <t>96/07/04</t>
  </si>
  <si>
    <t>96/07/10</t>
  </si>
  <si>
    <t>حواله ساتنا به حساب شماره  IR 680 6900 1678 4000 9953 5200 1 نزد بانک ایران زمین به نام موسسه حسابرسی و خدمات مالی کوشا منش بابت صورتحساب شماره 0806 مورخ 96/07/12</t>
  </si>
  <si>
    <t>96/07/16</t>
  </si>
  <si>
    <t>96/07/19</t>
  </si>
  <si>
    <t>واریز به حساب شماره IR27 0550 01128000574434000 1  نزد بانک اقتصاد نوین به نام آقای مهدی رجبی بابت تسویه باقی مانده حق الزحمه کارکرد تا پایان شهریور ماه 96</t>
  </si>
  <si>
    <t>96/07/23</t>
  </si>
  <si>
    <t xml:space="preserve">واریز به حساب شماره IR80 0190 0000 0032 6137 1600 03  نزد بانک صادرات به نام آقای علی رضائی بابت تسویه کارکرد تا 96/07/18 </t>
  </si>
  <si>
    <t>96/07/29</t>
  </si>
  <si>
    <t>واریز به شماره حساب 2110100714007نزد بانک ملی شعبه امانیه کد222بنام مالیات حقوق بخش خصوصی شمال تهران جهت پرداخت مالیات حقوق شهریور ماه و الحاقیه آن در وجه سازمان امور مالیاتی، واحد 401623</t>
  </si>
  <si>
    <t>واریز به شماره حساب  2110101614003  به نام اداره کل امور مالیاتی جهت پرداخت مالیات حقوق شهریور ماه 96، واحد 881521</t>
  </si>
  <si>
    <t>96/07/30</t>
  </si>
  <si>
    <t xml:space="preserve">واریز به حساب متمرکز اداره کل امور مالی کد 8150 نزد بانک ملی بنام سازمان تامین اجتماعی جهت پرداخت حق بیمه شهریور ماه 96 در شعبه بیست و پنج تهران </t>
  </si>
  <si>
    <t>96/08/08</t>
  </si>
  <si>
    <t>حواله ساتنا به حساب IR290120000000003980200865  نزد بانک ملت به نام شرکت کاربین بهبرد بابت پیش فاکتور شماره 952319</t>
  </si>
  <si>
    <t>96/08/06</t>
  </si>
  <si>
    <t>واریز به حساب شماره IR27 0550 01128000574434000 1  نزد بانک اقتصاد نوین به نام آقای مهدی رجبی بابت تسویه حق الزحمه کارکرد تا پایان مهر ماه 96</t>
  </si>
  <si>
    <t>واریز به حساب شماره IR27 0120 0000 0000 1739 7904 46  نزد بانک ملت به نام شرکت راد سیستم بابت پرداخت علی الحساب پیش فاکتور شماره 712</t>
  </si>
  <si>
    <t>حواله ساتنا به حساب IR090120010000004353534666  نزد بانک ملت به نام آقای سید محمد طباطبایی بابت فاکتور شماره 42771 فروشگاه رایان نگار به تاریخ 96/08/08</t>
  </si>
  <si>
    <t>96/08/14</t>
  </si>
  <si>
    <t>کارمزد چک رمزدار</t>
  </si>
  <si>
    <t>96/07/12</t>
  </si>
  <si>
    <t>کارمزد تائیدیه بانکی برای حسابرس</t>
  </si>
  <si>
    <t>96/05/19</t>
  </si>
  <si>
    <t xml:space="preserve">حواله ساتنا به حسابIR05 0550 0215 8000 5942 5330 01 نزد بانک اقتصادنوین به نام حسین سمیعی کیا بابت وام ضروری
</t>
  </si>
  <si>
    <t>حواله ساتنا به حساب IR710170000000100778945006 نزد بانک ملی به نام آقای امیر حسین شاملو بابت فاکتور شماره 1008 مبلمان اداری نوژن</t>
  </si>
  <si>
    <t>واریز به حساب شماره IR27 0120 0000 0000 1739 7904 46  نزد بانک ملت به نام شرکت راد سیستم بابت تسویه پیش فاکتور شماره 712</t>
  </si>
  <si>
    <t>96/08/16</t>
  </si>
  <si>
    <t>واریز به حساب اقتصادنوین زرافشانی بابت علی الحساب حقوق آبان ماه</t>
  </si>
  <si>
    <t>حواله ساتنا به حساب IR290120000000003980200865  نزد بانک ملت به نام شرکت کاربین بهبرد بابت تسویه فاکتور شماره 0418</t>
  </si>
  <si>
    <t>واریز به شماره حساب 2110100714007نزد بانک ملی شعبه امانیه کد222بنام مالیات حقوق بخش خصوصی شمال تهران جهت پرداخت مالیات حقوق مهر ماه و الحاقیه آن در وجه سازمان امور مالیاتی، واحد 401623</t>
  </si>
  <si>
    <t>واریز به شماره حساب  2110101614003  به نام اداره کل امور مالیاتی جهت پرداخت مالیات حقوق مهر ماه 96، واحد 881521</t>
  </si>
  <si>
    <t>حواله ساتنا به حساب IR60  0120  0200  0000  1714  4834  95 نزد بانک ملت به نام آقای عباس رحیمی بابت فاکتور شماره 146  P.B.X جهت خرید گوشی تلفن</t>
  </si>
  <si>
    <t>96/08/29</t>
  </si>
  <si>
    <t>96/08/30</t>
  </si>
  <si>
    <t>حواله ساتنا به حساب  IR1901 8000 0000 0035 9203 1581  نزد بانک تجارت به نام آقای امیر زمستانی بابت تسویه حساب تا پایان آبان ماه 96</t>
  </si>
  <si>
    <t>حواله ساتنا به حساب IR090120010000004353534666  نزد بانک ملت به نام آقای سید محمد طباطبایی بابت فاکتور شماره 42907 فروشگاه رایان نگار به تاریخ 96/09/01</t>
  </si>
  <si>
    <t>96/09/07</t>
  </si>
  <si>
    <t>حواله ساتنا به حساب  IR1201 8000 0000 0036 1856 1304  نزد بانک تجارت به نام آقای افشین غلامرضائی بابت تسویه حساب تا پایان آبان ماه 96</t>
  </si>
  <si>
    <t>96/09/18</t>
  </si>
  <si>
    <t>حواله ساتنا به حساب  IR1901 8000 0000 0035 9203 1581  نزد بانک تجارت به نام آقای امیر زمستانی بابت تسویه حساب تا آذر ماه 96</t>
  </si>
  <si>
    <t>حواله ساتنا به حسابIR240180000000000023127660  نزد بانک تجارت به نام شرکت مهندسین مشاور پی کاو بابت تسویه قرارداد شماره ADSH-E-CO_CV-001 مورخ شهریور 96</t>
  </si>
  <si>
    <t>96/09/19</t>
  </si>
  <si>
    <t>واریز به حساب 5-153662-2-110 نزد بانک اقتصاد نوین به نام شرکت تناوب بابت کارمزد تمدید ضمانت نامه وزارت نفت به مدت 12 ماه</t>
  </si>
  <si>
    <t>واریز به شماره حساب  2110101614003  به نام اداره کل امور مالیاتی جهت پرداخت مالیات حقوق آّبان ماه 96، واحد 881521</t>
  </si>
  <si>
    <t>واریز به شماره حساب 2110100714007نزد بانک ملی شعبه امانیه کد222بنام مالیات حقوق بخش خصوصی شمال تهران جهت پرداخت مالیات حقوق آبان ماه 96 و الحاقیه آن در وجه سازمان امور مالیاتی، واحد 401623</t>
  </si>
  <si>
    <t>96/09/26</t>
  </si>
  <si>
    <t xml:space="preserve">حواله ساتنا به حساب IR090120010000004353534666  نزد بانک ملت به نام آقای سید محمد طباطبایی بابت فاکتور شماره 42031 فروشگاه رایان نگار </t>
  </si>
  <si>
    <t xml:space="preserve">واریز به حساب بانک ملی امانیه کد 222 به حساب متمرکز اداره کل امور مالی کد 8150  جهت پرداخت حق بیمه آبان ماه 96 به نام سازمان تامین اجتماعی شعبه بیست و پنج تهران </t>
  </si>
  <si>
    <t>96/09/29</t>
  </si>
  <si>
    <t>96/10/05</t>
  </si>
  <si>
    <t>حواله ساتنا به حساب  IR1901 8000 0000 0035 9203 1581  نزد بانک تجارت به نام آقای امیر زمستانی بابت تسویه حساب تا پایان آذر ماه 96</t>
  </si>
  <si>
    <t>حواله ساتنا به حساب  IR8006 6000 0000 2035 5322 8008  نزد بانک تجارت به نام آقای احد جهد کاران بابت تسویه حساب تا پایان آذر ماه 96</t>
  </si>
  <si>
    <t>کارمزد دسته چک</t>
  </si>
  <si>
    <t>واریز برگشت حواله از طرف صرافی سامان</t>
  </si>
  <si>
    <t>واریز پایا</t>
  </si>
  <si>
    <t>96/10/10</t>
  </si>
  <si>
    <t>بابت افتتاح حساب سپرده کوتاه مدت</t>
  </si>
  <si>
    <t>واریز به شماره حساب 2110100714007نزد بانک ملی شعبه امانیه کد222بنام مالیات حقوق بخش خصوصی شمال تهران جهت پرداخت مالیات حقوق آذر ماه 96 و الحاقیه آن در وجه سازمان امور مالیاتی، واحد 401623</t>
  </si>
  <si>
    <t>واریز به شماره حساب  2110101614003  به نام اداره کل امور مالیاتی جهت پرداخت مالیات حقوق آذر ماه 96، واحد 881521</t>
  </si>
  <si>
    <t>96/10/11</t>
  </si>
  <si>
    <t>96/10/12</t>
  </si>
  <si>
    <t xml:space="preserve">واریز به حساب بانک ملی امانیه کد 222 به حساب متمرکز اداره کل امور مالی کد 8150  جهت پرداخت حق بیمه آذر ماه 96 به نام سازمان تامین اجتماعی شعبه بیست و پنج تهران </t>
  </si>
  <si>
    <t>96/10/16</t>
  </si>
  <si>
    <t>96/10/18</t>
  </si>
  <si>
    <t>واریز ساتنا به حساب IR4601 7000 0002 1745 3105 4005 نزد بانک ملی ایران شعبه گلشن بوشهر به نام سازمان منطقه ویژه اقتصادی انرژی پارس به عنوان علی الحساب پیش پرداخت قطعه زمین شماره 5 واگذار شده به شرکت پالایش میعانات گازی آدیش جنوبی</t>
  </si>
  <si>
    <t>واریز ساتنا به حساب IR4601 7000 0002 1745 3105 4005 نزد بانک ملی ایران شعبه گلشن بوشهر به نام سازمان منطقه ویژه اقتصادی انرژی پارس با شناسه پرداخت 36-411483193757 - 171 به عنوان علی الحساب پیش پرداخت قطعه زمین شماره 5 واگذار شده به شرکت پالایش میعانات گازی آدیش جنوبی</t>
  </si>
  <si>
    <t>96/10/24</t>
  </si>
  <si>
    <t>واریز ساتنا به حساب IR630570024980000105310002 نزد بانک پاسارگاد به نام مهرداد محمد علیها بابت علی الحساب هزینه کارشناسی املاک مورد وثیقه بانک</t>
  </si>
  <si>
    <t>96/11/01</t>
  </si>
  <si>
    <t>96/11/02</t>
  </si>
  <si>
    <t>واریز ساتنا به حساب IR 270570030781001340862001 نزد بانک پاسارگاد به نام شرکت آداک فن آوری مانیا بابت پیش فاکتور شماره AG96/3953 مورخ 1396/10/30</t>
  </si>
  <si>
    <t>96/11/07</t>
  </si>
  <si>
    <t xml:space="preserve">پرداخت حقوق و دستمزد دی ماه کارکنان شرکت پالایش میعانات گازی آدیش جنوبی طبق لیست </t>
  </si>
  <si>
    <t xml:space="preserve">پرداخت حقوق و دستمزد دی ماه کارکنان ساعتی شرکت پالایش میعانات گازی آدیش جنوبی طبق لیست </t>
  </si>
  <si>
    <t>حواله ساتنا به حساب IR 54 0120 0100 0000 3385 4633 80  نزد بانک ملت به نام الهام تشرفی بابت هزینه های آزمایشگاه کارکنان</t>
  </si>
  <si>
    <t>واریز ساتنا به حساب IR630570024980000105310002 نزد بانک پاسارگاد به نام مهرداد محمد علیها بابت تسویه هزینه کارشناسی املاک مورد وثیقه بانک</t>
  </si>
  <si>
    <t>تسویه حساب کامل و قطعی آقای مهدی بنی یعقوب از تاریخ 95/06/01 لغایت تا پایان سال 96 مورخ 96/10/30</t>
  </si>
  <si>
    <t>96/11/15</t>
  </si>
  <si>
    <t>حواله ساتنا به حساب IR090120010000004353534666  نزد بانک ملت به نام آقای سید محمد طباطبایی بابت فاکتور شماره 42975 فروشگاه آرین رایان</t>
  </si>
  <si>
    <t>حواله ساتنا به حساب IR390570037981010879659101 نزد بانک پاسارگاد به نام شرکت آریا تالین گام جهت درج آگهی در سایت</t>
  </si>
  <si>
    <t>96/11/16</t>
  </si>
  <si>
    <t>حواله ساتنا به حساب IR870160000000000794351056  نزد بانک کشاورزی شعبه مفتح جنوبی، به نام شرکت خدمات ارزی و صرافی مهر بابت حواله به شرکت پیلدز</t>
  </si>
  <si>
    <t>حواله ساتنا به حساب IR900560081681001066586001   نزد بانک سامان شعبه اریکه ایرانیان کد 816  به نام شرکت آینده نگاران جهت خرید آنتی ویروس</t>
  </si>
  <si>
    <t>96/11/24</t>
  </si>
  <si>
    <t>96/11/29</t>
  </si>
  <si>
    <t>سود علی الحساب</t>
  </si>
  <si>
    <t>واریز به شماره حساب 2110100714007نزد بانک ملی شعبه امانیه کد222بنام مالیات حقوق بخش خصوصی شمال تهران جهت پرداخت الحاقیه دی ماه 96 در وجه سازمان امور مالیاتی، واحد 401623</t>
  </si>
  <si>
    <t>حواله ساتنا به حساب IR090120010000004353534666  نزد بانک ملت به نام آقای سید محمد طباطبایی بابت فاکتور شماره 1059 فروشگاه آرین رایان مورخ 96/11/28</t>
  </si>
  <si>
    <t>حواله ساتنا به حساب IR60  0120  0200  0000  1714  4834  95 نزد بانک ملت به نام آقای عباس رحیمی بابت فاکتور شماره  112 ارتباط نوین P.B.X جهت خرید گوشی تلفن</t>
  </si>
  <si>
    <t>حواله ساتنا به حساب IR 81 0560 0835 0400 0975 7810 01 نزد بانک سامان شعبه ساعی به نام شرکت همکاران سیستم مدیریت طرح های عمومی بابت خرید آنلاین خدمات پشتیبانی</t>
  </si>
  <si>
    <t xml:space="preserve">واریز ساتنا به حساب   IR940 180 000 000 000 212114022 نزد بانک تجارت شعبه کوی دانشگاه کد 2120 به نام شرکت طرح نو اندیشان بابت پیش پرداخت قرارداد شماره ADSH-E-CO-CV-002  </t>
  </si>
  <si>
    <t>پرداخت عیدی کارکنان شرکت پالایش میعانات گازی آدیش جنوبی طبق لیست</t>
  </si>
  <si>
    <t>96/12/06</t>
  </si>
  <si>
    <t xml:space="preserve">پرداخت حقوق و دستمزد بهمن ماه کارکنان شرکت پالایش میعانات گازی آدیش جنوبی طبق لیست </t>
  </si>
  <si>
    <t xml:space="preserve">پرداخت حقوق و دستمزد بهمن ماه کارکنان ساعتی شرکت پالایش میعانات گازی آدیش جنوبی طبق لیست </t>
  </si>
  <si>
    <t>حواله ساتنا به حساب IR090120010000004353534666  نزد بانک ملت به نام آقای سید محمد طباطبایی بابت فاکتور شماره 1065 فروشگاه آرین رایان مورخ 96/12/06</t>
  </si>
  <si>
    <t>96/12/07</t>
  </si>
  <si>
    <t>حواله ساتنا به حساب IR 310570024780001407173001  نزد بانک پاسارگاد به نام محمد رضا ابراهیمی بابت کارکرد تا پایان بهمن ماه</t>
  </si>
  <si>
    <t>حواله ساتنا به حسابIR240180000000000023127660  نزد بانک تجارت به نام شرکت مهندسین مشاور پی کاو بابت تسویه قرارداد شماره ADISH-E-CO_CV-001 طی شماره فاکتور 083/ پ</t>
  </si>
  <si>
    <t>96/12/12</t>
  </si>
  <si>
    <t>واریز به شماره حساب 1-3357088-1-112 نزد بانک اقتصاد نوین به نام آقای احسان محمدی بابت کارکرد تا پایان بهمن ماه</t>
  </si>
  <si>
    <t>واریز به شماره حساب  1-3028498-800-141 نزد بانک اقتصاد نوین به نام خانم پروین صادق آبادی بابت تسویه سنوات تا پایان سال 96</t>
  </si>
  <si>
    <t>96/12/16</t>
  </si>
  <si>
    <t xml:space="preserve">پرداخت علی الحساب حقوق و دستمزد اسفند ماه کارکنان شرکت پالایش میعانات گازی آدیش جنوبی طبق لیست </t>
  </si>
  <si>
    <t>واریز به شماره حساب 1-3028498-800-215 نزد بانک اقتصاد نوین به نام خانم پروین صادق آبادی بابت پرداخت صورت حساب کارمزد ثبت سفارش در مرکز توسعه تجارت الکترونیکی، دفتر مقررات واردات</t>
  </si>
  <si>
    <t>واریز به شماره حساب 1-10600-850-156 نزد بانک اقتصاد نوین شعبه میدان مادر کد 156 به نام شرکت بیمه نوین بابت بیمه تجهیزات مورد نیاز پالایشگاه بر طبق پروفرما</t>
  </si>
  <si>
    <t xml:space="preserve">حواله ساتنا به حسابIR240180000000000023127660  نزد بانک تجارت به نام شرکت مهندسین مشاور پی کاو بابت پیش پرداخت قرارداد شماره ADSH-E-CO_CV-003 </t>
  </si>
  <si>
    <t>واریز به شماره حساب  2110100721007 جهت پرداخت حق تمبر افزایش سرمایه شرکت تا مبلغ 670 میلیارد ریال در وجه اداره امور مالیاتی شمال تهران</t>
  </si>
  <si>
    <t>بابت برگشت کارمزد ثبت سفارش</t>
  </si>
  <si>
    <t>96/12/20</t>
  </si>
  <si>
    <t>96/12/21</t>
  </si>
  <si>
    <t>96/12/22</t>
  </si>
  <si>
    <t>واریز تناوب</t>
  </si>
  <si>
    <t>واریز به حساب شرکت</t>
  </si>
  <si>
    <t xml:space="preserve">حواله ساتنا به حساب IR870160000000000794351056  نزد بانک کشاورزی شعبه مفتح جنوبی، به نام شرکت خدمات ارزی و صرافی مهر بابت حواله به شرکت پیمانکار کره ای پیلدز </t>
  </si>
  <si>
    <t xml:space="preserve">حواله ساتنا به حساب IR290120020000005511133214 نزد بانک ملت شعبه استاد مطهری به نام شرکت راهکار برتر آراد پایا بابت علی الحساب جهت قرارداد شماره APS-C-0121 مورخ 96/04/03 </t>
  </si>
  <si>
    <t>96/12/23</t>
  </si>
  <si>
    <t>واریز به شماره حساب 14785019444272 نزد بانک اقتصاد نوین به نام شرکت تو آر اینسپکشن اند کوالیتی سرویسز کیش جهت بازرسی کالا</t>
  </si>
  <si>
    <t>حواله ساتنا به حساب شماره  IR 680 6900 1678 4000 9953 5200 1 نزد بانک ایران زمین به نام موسسه حسابرسی و خدمات مالی کوشا منش بابت تسویه صورتحساب شماره 0928 مورخ 96/12/26</t>
  </si>
  <si>
    <t>96/12/26</t>
  </si>
  <si>
    <t xml:space="preserve">ابطالی </t>
  </si>
  <si>
    <t xml:space="preserve"> واریز به حساب آقای محسن خستو بابت شارژ تنخواه</t>
  </si>
  <si>
    <t>96/12/27</t>
  </si>
  <si>
    <t>واریز به حساب آقای محسن خستو بابت شارژ تنخواه</t>
  </si>
  <si>
    <t xml:space="preserve">تسویه سنوات تا پایان سال 96 کارکنان شرکت پالایش میعانات گازی آدیش جنوبی طبق لیست </t>
  </si>
  <si>
    <t>97/01/21</t>
  </si>
  <si>
    <t>97/01/26</t>
  </si>
  <si>
    <t xml:space="preserve">تسویه حقوق و دستمزد اسفند ماه کارکنان ساعتی شرکت پالایش میعانات گازی آدیش جنوبی طبق لیست </t>
  </si>
  <si>
    <t>97/01/28</t>
  </si>
  <si>
    <t>واریز به شماره حساب  2110101614003  به نام اداره کل امور مالیاتی جهت پرداخت مالیات حقوق اسفند ماه 96، واحد 881521</t>
  </si>
  <si>
    <t xml:space="preserve">واریز به حساب بانک ملی امانیه کد 222 به حساب متمرکز اداره کل امور مالی کد 8150  جهت پرداخت حق بیمه اسفند ماه 96 به نام سازمان تامین اجتماعی شعبه بیست و پنج تهران </t>
  </si>
  <si>
    <t>واریز به شماره حساب 2110100714007نزد بانک ملی شعبه امانیه کد222بنام مالیات حقوق بخش خصوصی شمال تهران جهت پرداخت مالیات حقوق اسفند ماه 96 در وجه سازمان امور مالیاتی، واحد 401623</t>
  </si>
  <si>
    <t>97/01/29</t>
  </si>
  <si>
    <t>حواله ساتنا به حساب IR090120010000004353534666  نزد بانک ملت به نام آقای سید محمد طباطبایی بابت فاکتورهای شماره  1085 و 1086 فروشگاه آرین رایان مورخ 97/02/05</t>
  </si>
  <si>
    <t>حواله ساتنا به حساب IR090120010000004353534666  نزد بانک ملت به نام آقای سید محمد طباطبایی بابت فاکتور شماره 1076 فروشگاه آرین رایان مورخ 97/01/22</t>
  </si>
  <si>
    <t>97/02/08</t>
  </si>
  <si>
    <t xml:space="preserve">پرداخت حقوق و دستمزد فروردین ماه کارکنان شرکت پالایش میعانات گازی آدیش جنوبی طبق لیست </t>
  </si>
  <si>
    <t xml:space="preserve">پرداخت علی الحساب حقوق و دستمزد فروردین ماه کارکنان ساعتی شرکت پالایش میعانات گازی آدیش جنوبی طبق لیست </t>
  </si>
  <si>
    <t>97/02/09</t>
  </si>
  <si>
    <t xml:space="preserve">واریز به شماره حساب 2110100721007 نزد بانک ملی شعبه میرداماد کد 64 به نام اداره کل امور مالیاتی شمال تهران جهت پراخت حق تمبر افزایش سرمایه شرکت پالایش میعانات گازی آدیش جنوبی   </t>
  </si>
  <si>
    <t>97/02/18</t>
  </si>
  <si>
    <t>97/02/19</t>
  </si>
  <si>
    <t>حواله ساتنا به حساب IR640560081081002189814001  نزد بانک سامان به نام شرکت پالایش میعانات گازی آدیش جنوبی</t>
  </si>
  <si>
    <t>حواله ساتنا به حساب IR090120010000004353534666  نزد بانک ملت به نام آقای سید محمد طباطبایی بابت فاکتور شماره 1090 فروشگاه آرین رایان مورخ 97/02/11</t>
  </si>
  <si>
    <t>واریز به شماره حساب 1-5250821-800-215 نزد بانک اقتصادنوین به نام سپیده بیاتی بابت پرداخت مساعده</t>
  </si>
  <si>
    <t>واریز به شماره حساب 83756509/27 نزد بانک ملت به نام شرکت پالایش میعانات گازی آدیش جنوبی</t>
  </si>
  <si>
    <t>واریز به شماره حساب 1-5942198-800-215 نزد بانک اقتصادنوین به نام زینب امین زاده بابت پرداخت مساعده</t>
  </si>
  <si>
    <t>97/03/01</t>
  </si>
  <si>
    <t>97/03/08</t>
  </si>
  <si>
    <t xml:space="preserve">پرداخت حقوق و دستمزد اردیبهشت ماه کارکنان شرکت پالایش میعانات گازی آدیش جنوبی طبق لیست </t>
  </si>
  <si>
    <t xml:space="preserve">پرداخت  حقوق و دستمزد اردیبهشت ماه کارکنان ساعتی شرکت پالایش میعانات گازی آدیش جنوبی طبق لیست </t>
  </si>
  <si>
    <t>حواله ساتنا به حساب IR60  0120  0200  0000  1714  4834  95 نزد بانک ملت به نام آقای عباس رحیمی بابت فاکتور شماره 128  P.B.X  مورخ 97/03/05جهت خرید گوشی تلفن</t>
  </si>
  <si>
    <t>97/04/06</t>
  </si>
  <si>
    <t xml:space="preserve">پرداخت حقوق و دستمزد خرداد ماه کارکنان شرکت پالایش میعانات گازی آدیش جنوبی طبق لیست </t>
  </si>
  <si>
    <t xml:space="preserve">پرداخت  حقوق و دستمزد خرداد ماه کارکنان ساعتی شرکت پالایش میعانات گازی آدیش جنوبی طبق لیست </t>
  </si>
  <si>
    <t>97/04/10</t>
  </si>
  <si>
    <t>حواله ساتنا به حساب IR19 0170 0000 0035 5662 5620 07 نزد بانک ملی به نام آقای محمد حسن ریاحی اصل بابت علی الحساب تنخواه کنگان</t>
  </si>
  <si>
    <t>حواله ساتنا به حساب IR18 0190 0000 0010 3467 3920 09 نزد بانک صادرات به نام آقای علی زاهدیان بابت علی الحساب تنخواه کنگان</t>
  </si>
  <si>
    <t>تسویه حساب کامل و قطعی خانم نوشین عبدی طبق قرارداد یک ماهه خرداد سال 97 از تاریخ 97/03/01 لغایت 97/03/31</t>
  </si>
  <si>
    <t>تسویه حساب کامل و قطعی خانم الهه حمید پور طبق قرارداد سال 97 از تاریخ 97/01/01 لغایت 97/03/31</t>
  </si>
  <si>
    <t>97/04/20</t>
  </si>
  <si>
    <t>97/02/30</t>
  </si>
  <si>
    <t>حواله ساتنا به حساب IR 840570039986011857122101  نزد بانک پاسارگاد به نام شرکت زیرساخت فراگیر پالایشی سیراف بابت هزینه خرید بلیط آقای مبصری طی اعلامیه شماره53</t>
  </si>
  <si>
    <t>واریز به حساب آقای محسن خستو به شماره ملی بابت شارژ تنخواه</t>
  </si>
  <si>
    <t>تسویه حساب کامل و قطعی آقای مسعود دلبری 2630841601 طبق قرارداد سال 97 تاریخ 97/01/01 لغایت 97/04/09</t>
  </si>
  <si>
    <t>انتقال به صندوق آتیه نوین شرکت پالایش میعانات گازی آدیش جنوبی</t>
  </si>
  <si>
    <t>97/04/25</t>
  </si>
  <si>
    <t>واریز به شماره حساب IR30 0120 0000 0000 0038 7224 41 نزد بانک ملت به نام آقای دهقان داود بابت خرید مبلمان منزل و کالای خواب جهت تجهیز خوابگاه کنگان</t>
  </si>
  <si>
    <t>97/04/26</t>
  </si>
  <si>
    <t>واریز به حساب 1 5942278 800 215 به نام خانم رقیه محمودی فخرآباد جهت پرداخت کارانه غیر مستمر مورد تصویب مجمع عمومی عادی سالیانه</t>
  </si>
  <si>
    <t>واریز به حساب آقای محسن خستو به شماره ملی 4839597987  بابت شارژ تنخواه</t>
  </si>
  <si>
    <t>97/04/27</t>
  </si>
  <si>
    <t>97/05/03</t>
  </si>
  <si>
    <r>
      <t xml:space="preserve">واریز به شماره حساب </t>
    </r>
    <r>
      <rPr>
        <i/>
        <sz val="12"/>
        <color theme="1"/>
        <rFont val="B Nazanin"/>
        <charset val="178"/>
      </rPr>
      <t xml:space="preserve">  </t>
    </r>
    <r>
      <rPr>
        <sz val="12"/>
        <color theme="1"/>
        <rFont val="B Nazanin"/>
        <charset val="178"/>
      </rPr>
      <t>IR 68 0120 0000 0000 0027 1131 85 آقای کریم عربیان بابت خرید دوربین نقشه برداری و لوازم مهندسی برای کارگاه طبق پیش فاکتور  مورخ 97/05/01 فروشگاه نقش آرا</t>
    </r>
  </si>
  <si>
    <t>حواله ساتنا به حساب IR60  0120  0200  0000  1714  4834  95 نزد بانک ملت به نام آقای عباس رحیمی بابت فاکتور شماره 0653 و 0655 شرکت ارتباط نوین جهت خرید گوشی تلفن</t>
  </si>
  <si>
    <t>97/05/07</t>
  </si>
  <si>
    <t>حواله ساتنا به حساب IR61 0170 0000 0010 5061 8600 03 نزد بانک ملی به نام آقای سید سعید حسینی سامیان بابت کارکرد خرداد و تیر 97 بابت بررسی طرح آزمایشگاه</t>
  </si>
  <si>
    <t>97/05/09</t>
  </si>
  <si>
    <t>حواله ساتنا به حساب IR090120010000004353534666  نزد بانک ملت به نام آقای سید محمد طباطبایی بابت فاکتورهای فروشگاه آرین رایان بابت خرید کامپیوتر جهت تجهیز کارگاه</t>
  </si>
  <si>
    <t>حواله ساتنا به حساب IR08 0170 0000 0035 0125 5210 02  نزد بانک ملی به نام آقای عیسی حسن پور بهزادی بابت کارکرد تیر 97 در پروژه کنگان</t>
  </si>
  <si>
    <t>حواله ساتنا به حساب IR19 0170 0000 0035 5662 5620 07 نزد بانک ملی به نام آقای محمد حسن ریاحی اصل بابت کارکرد تیر 97 در پروژه کنگان</t>
  </si>
  <si>
    <t>97/05/17</t>
  </si>
  <si>
    <t>حواله ساتنا به حساب IR71 0570 0399 8000 1346 6661 01 نزد بانک پاسارگاد به نام آقای داریوش ملائی بابت کارکرد تیر 97 در پروژه کنگان</t>
  </si>
  <si>
    <t>حواله ساتنا به حساب IR56  0120  0100  0000  4021  6810  09 نزد بانک ملت به نام آقای سهراب محمدی ده چشمه بابت خرید کابل و سیم و پریز و محافظ از فروشگاه برق و صنعت طاها</t>
  </si>
  <si>
    <t>97/05/21</t>
  </si>
  <si>
    <t>واریز به شماره حساب 1-140372-843-110 نزد بانک اقتصاد نوین بابت شارژ تنخواه مدیرعامل</t>
  </si>
  <si>
    <t>97/06/07</t>
  </si>
  <si>
    <t xml:space="preserve">پرداخت حقوق و دستمزد مرداد ماه کارکنان شرکت پالایش میعانات گازی آدیش جنوبی طبق لیست </t>
  </si>
  <si>
    <t xml:space="preserve">پرداخت  حقوق و دستمزد مرداد ماه کارکنان ساعتی شرکت پالایش میعانات گازی آدیش جنوبی طبق لیست </t>
  </si>
  <si>
    <t>97/07/17</t>
  </si>
  <si>
    <t>97/06/12</t>
  </si>
  <si>
    <t>تسویه حساب کامل و قطعی خانم رقیه محمودی فخرآباد طبق قرارداد سال 97 از تاریخ 97/01/01 لغایت 97/05/12</t>
  </si>
  <si>
    <t>حواله ساتنا به حساب IR19 0170 0000 0035 5662 5620 07 نزد بانک سپه به نام حمید اسلامی کنارسری بابت شارژ تنخواه کنگان</t>
  </si>
  <si>
    <t>حواله ساتنا به شماره حساب IR83 0150 0000 0113 9300 5765 02 نزد بانک سپه به نام مهدی حیدری بابت خرید کانکس کارگاه کنگان طبق فاکتور شماره 0136 مورخ 97/05/30  فروشگاه پرشین کانکس</t>
  </si>
  <si>
    <t>97/06/21</t>
  </si>
  <si>
    <t xml:space="preserve">حواله ساتنا به حساب IR42 0150 0000 0089 6302 8259 11 نزد بانک سپه به نام حمید اسلامی کنارسری بابت شارژ تنخواه کنگان جهت هزینه های خوابگاه و پرداخت هزینه انشعاب برق </t>
  </si>
  <si>
    <t>97/07/01</t>
  </si>
  <si>
    <t>97/07/08</t>
  </si>
  <si>
    <t xml:space="preserve">پرداخت حقوق و دستمزد شهریور ماه کارکنان شرکت پالایش میعانات گازی آدیش جنوبی طبق لیست </t>
  </si>
  <si>
    <t xml:space="preserve">پرداخت  حقوق و دستمزد شهریور ماه کارکنان ساعتی شرکت پالایش میعانات گازی آدیش جنوبی طبق لیست </t>
  </si>
  <si>
    <t xml:space="preserve">حواله ساتنا به شماره حساب IR66 0570 0337 1101 2325 9130 01  نزد بانک پاسارگاد به نام  شرکت داده پردازان فناوری اطلاعات و ارتباطات جم بابت تسویه فاکتور شماره 950788 مورخ 97/06/19 </t>
  </si>
  <si>
    <t>97/07/21</t>
  </si>
  <si>
    <t>حواله ساتنا به شماره حساب IR41 0180 0000 0000 0714 0610 70  نزد بانک تجارت به نام  شرکت خدمات بیمه ای نیکان پوشش جنوب بابت تسویه بیمه نامه شماره 1397/2818/1/400/3128/2/42  با موضوع مسئولیت مدنی کارفرما در برابر کارکنان</t>
  </si>
  <si>
    <t>حواله ساتنا به حساب IR60  0120  0200  0000  1714  4834  95 نزد بانک ملت به نام آقای عباس رحیمی بابت فاکتور شماره 141 مورخ 97/07/07 ارتباط نوین جهت خرید گوشی تلفن و کابل</t>
  </si>
  <si>
    <t>97/07/24</t>
  </si>
  <si>
    <t>حواله ساتنا به شماره حساب  IR58 0150 0000 0089 6800 1839 08 نزد بانک سپه به نام حمید اسلامی کنارسری و جمال فرهمندهارمی بابت شارژ تنخواه کنگان</t>
  </si>
  <si>
    <t>واریز به شماره حساب IR82  0120  0000  0000  8375  6509  27 نزد بانک ملت به نام شرکت پالایش میعانات گازی آدیش جنوبی</t>
  </si>
  <si>
    <t>97/07/29</t>
  </si>
  <si>
    <t>97/08/07</t>
  </si>
  <si>
    <t xml:space="preserve">پرداخت حقوق و دستمزد مهر ماه کارکنان شرکت پالایش میعانات گازی آدیش جنوبی طبق لیست </t>
  </si>
  <si>
    <t xml:space="preserve">پرداخت  حقوق و دستمزد مهر ماه کارکنان ساعتی شرکت پالایش میعانات گازی آدیش جنوبی طبق لیست </t>
  </si>
  <si>
    <t>97/08/19</t>
  </si>
  <si>
    <t>واریز به حساب آقای فاتح خدایاری به شماره حساب 1-5607959-800-129 به  شماره ملی 0073362190  بابت پرداخت هزینه های مهندسی</t>
  </si>
  <si>
    <t>97/08/20</t>
  </si>
  <si>
    <t>واریز به حساب آقای محسن خستو به شماره ملی 4839597987  بابت شارژ تنخواه و شماره حساب
 1 - 2688597 - 800 - 215</t>
  </si>
  <si>
    <t>واریز به حساب آقای حسین سمیعی کیا به شماره ملی 0519518446  و شماره حساب
 215-800-5942533-1 بابت پرداخت مساعده</t>
  </si>
  <si>
    <t>97/09/06</t>
  </si>
  <si>
    <t>حواله ساتنا به حساب IR90 0560 0816 8100 1066 5860 01   نزد بانک سامان شعبه اریکه ایرانیان کد 816  به نام شرکت آینده نگاران جهت خرید آنتی ویروس طی پیش فاکتور شماره 1106710 مورخ 97/09/05</t>
  </si>
  <si>
    <t xml:space="preserve">پرداخت حقوق و دستمزد آبان ماه کارکنان شرکت پالایش میعانات گازی آدیش جنوبی طبق لیست </t>
  </si>
  <si>
    <t xml:space="preserve">پرداخت هزینه های مهندسی آبان ماه شرکت پالایش میعانات گازی آدیش جنوبی طبق لیست </t>
  </si>
  <si>
    <t>حواله ساتنا به حسابIR24 0180 0000 0000 0023 1276 60  نزد بانک تجارت به نام شرکت مهندسین مشاور پی کاو بابت علی الحساب 30% مبلغ قرارداد شماره
ADISH-E-CO_CV-004  بابت انجام مطالعات ژئوتکنیک</t>
  </si>
  <si>
    <t xml:space="preserve"> حواله ساتنا به شماره حساب IR70 0550 0154 8000 6233 6050 01 به نام امیرعباس قهاری و حواله ساتنا به شماره حساب IR33 0550 1602 8000 4805 2790 01 به نام محمد احمدوند نزد بانک اقتصادنوین بابت فاکتورهای فروش نقشه فونداسیون</t>
  </si>
  <si>
    <t>حواله ساتنا به حساب IR71 0570 0399 8000 1346 6661 01 نزد بانک پاسارگاد به نام آقای داریوش ملائی بابت تسویه حساب قطعی تا 97/05/20</t>
  </si>
  <si>
    <t>حواله ساتنا به حساب IR19 0170 0000 0035 5662 5620 07 نزد بانک ملی به نام آقای محمد حسن ریاحی اصل بابت تسویه حساب قطعی تا 97/06/18</t>
  </si>
  <si>
    <t>97/09/12</t>
  </si>
  <si>
    <t>پرداخت به آقای مزدک عبائی به شماره 1-423037-800-142 نزد بانک اقتصادنوین بابت برگزاری دوره PMBOK</t>
  </si>
  <si>
    <t>واریز به حساب آقای امیر کیوان شفیع پور به شماره شبای IR02 0120 0000 0000 8145 8797 37 بابت علی الحساب تنخواه کنگان</t>
  </si>
  <si>
    <t xml:space="preserve">حواله ساتنا به حساب IR38 0180 0000 0000 2646 1013 04 شرکت خادم یاران بام بوشهر به شماره ثبت 4666 بابت صورتحساب های شماره 1397053114 مورخ 97/08/15  و  1397053115 مورخ 97/08/30 </t>
  </si>
  <si>
    <t>حواله ساتنا به حساب IR77 0540 1054 8110 0003 135005  نزد بانک پارسیان به نام شرکت مهندسین مشاور نگراندیش بابت ارائه گزارش پیشرفت دوم منتهی به 97/02/31</t>
  </si>
  <si>
    <t>پرداخت به حساب خانم زینب امین زاده به شماره 1-5942198-800-215 بابت مابه التفاوتی که ایشان از حساب خود به آقای احسان کاهه جهت مبلغ به اشتباه کسر شده از حقوق ایشان پرداختند</t>
  </si>
  <si>
    <t xml:space="preserve">حواله ساتنا به حساب IR51 0120 0000 0000 8329 9603 14 نزد بانک ملت شعبه استاد مطهری به نام شرکت راهکار برتر آراد پایا به شماره ثبت 478529 جهت تسویه قرارداد شماره 0121-APS-C </t>
  </si>
  <si>
    <t>واریز به حساب  1 - 4855457 - 800 - 181 نزد بانک اقتصاد نوین به نام آقای محمد متاجی کجوری به شماره ملی0082747784 بابت تسویه حساب قطعی</t>
  </si>
  <si>
    <t xml:space="preserve">
واریز به حساب  1 - 2688597 - 800 - 215 به نام آقای محسن خستو به شماره ملی 4839597987  بابت شارژ تنخواه 
</t>
  </si>
  <si>
    <t>97/09/26</t>
  </si>
  <si>
    <t>97/09/27</t>
  </si>
  <si>
    <t>خرید بن کارت جهت پرداخت مزایای غیرنقدی به کارکنان طبق لیست پیوست</t>
  </si>
  <si>
    <t xml:space="preserve">پرداخت حقوق و دستمزد آذر ماه کارکنان شرکت پالایش میعانات گازی آدیش جنوبی طبق لیست </t>
  </si>
  <si>
    <t xml:space="preserve">پرداخت  حقوق و دستمزد آذر ماه کارکنان ساعتی شرکت پالایش میعانات گازی آدیش جنوبی طبق لیست </t>
  </si>
  <si>
    <t>واریز به شماره حساب 1-6233605-800-154 به نام امیرعباس قهاری بابت فاکتور فروش نقشه های فونداسیون</t>
  </si>
  <si>
    <t>97/10/05</t>
  </si>
  <si>
    <t xml:space="preserve">حواله ساتنا به حساب IR51 0120 0000 0000 8329 9603 14 نزد بانک ملت شعبه استاد مطهری به نام شرکت راهکار برتر آراد پایا به شماره ثبت 478529 جهت پشتیبانی و نگهداری سیستم از تاریخ 97/07/01 الی 97/12/29 طبق قرارداد شماره 0122-APS-C  </t>
  </si>
  <si>
    <t xml:space="preserve">حواله ساتنا به حساب IR63 0190 0000 0010 5225 4610 06 نزد بانک صادرات به نام آقای امیر حسین شاملو بابت فاکتور شماره 0941 مورخ 97/10/01 گروه تولیدی صنعتی شاملو (مبلمان نوژن) </t>
  </si>
  <si>
    <t>97/10/08</t>
  </si>
  <si>
    <t>حواله ساتنا به حساب IR 82 0130 1000 0000 0043 3971 41 نزد بانک رفاه کد 180 به نام شرکت ترسیم گران اندیشه پویا بابت فاکتور شماره 13345 مورخ 97/10/06</t>
  </si>
  <si>
    <t>واریز به حساب خانم بهاره هدایت زاده رودسری به شماره حساب 1-6081565-800-215 نزد بانک اقتصادنوین بابت تصفیه قطعی تا تاریخ 97/08/23</t>
  </si>
  <si>
    <t>واریز به حساب آقای محمدرضا سالور به شماره حساب 1-2986914-800-159  نزد بانک اقتصادنوین بابت تصفیه قطعی تا تاریخ 97/09/21</t>
  </si>
  <si>
    <t xml:space="preserve">واریز به حساب خانم رقیه مرزبان بیدرونی به کد ملی 2720444413 بابت تصفیه قطعی حق الزحمه </t>
  </si>
  <si>
    <t>97/10/11</t>
  </si>
  <si>
    <t xml:space="preserve">واریز به حساب IR 6401 8000 0000 0002 3511 7142 به نام رستم فرودیان به کد ملی 0036649368 بابت فاکتور خدمات ماشین های اداری رامتین </t>
  </si>
  <si>
    <t>حواله ساتنا به حساب IR21 0120 0200 0000 4421 5120 85 نزد بانک ملت به نام شرکت خدمات مسافرت هوایی پرتو پرواز فردا</t>
  </si>
  <si>
    <t>97/10/22</t>
  </si>
  <si>
    <t>حواله ساتنا به حساب IR89 0120 0100 0000 1333 8960 66 نزد بانک ملت به نام آقای حمید رضا غلامیان به شماره ملی 4650648424 بابت فاکتور 101023-97 مورخ 97/10/10 گروه فنی، مهندسی اتو سیستم</t>
  </si>
  <si>
    <t>حواله ساتنا به شماره حساب  IR26  0120  0100  0000  1502  6631  35 نزد بانک ملت به نام حسین حیدری جهت پرداخت صورتحساب های 1005 تا 1012 از تاریخ 97/09/14 تا 97/10/05 مربوط به کارگاه فروش بتن آماده و پیش ساخته سیراف صنعت به شماره 3569586790</t>
  </si>
  <si>
    <t>97/10/23</t>
  </si>
  <si>
    <t>97/10/29</t>
  </si>
  <si>
    <t>حواله ساتنا به حسابIR240180000000000023127660  نزد بانک تجارت به نام شرکت مهندسین مشاور پی کاو بابت پرداخت صورت حساب مطالعات ژئوتکنیک طبق قرارداد  ADSH-E-CO_CV-004 و شماره فاکتور 124/ پ</t>
  </si>
  <si>
    <t>97/11/01</t>
  </si>
  <si>
    <t>حواله ساتنا به حساب IR60  0120  0200  0000  1714  4834  95 نزد بانک ملت به نام آقای عباس رحیمی بابت فاکتور شماره  159 ارتباط نوین P.B.X جهت خرید گوشی تلفن</t>
  </si>
  <si>
    <t>واریز به حساب IR 91 0540 1266 2010 0100 3386 09  نزد بانک پارسیان به نام شرکت زیست صنعت آراد بابت فاکتور شماره 10251 ش97 مورخ 97/10/25</t>
  </si>
  <si>
    <t>حواله ساتنا به حساب شماره  IR 680 6900 1678 4000 9953 5200 1 نزد بانک ایران زمین به نام موسسه حسابرسی و خدمات مالی کوشا منش بابت صورتحساب شماره 202119/ک/ 97 مورخ 97/10/26</t>
  </si>
  <si>
    <t xml:space="preserve">پرداخت  هزینه های مهندسی شرکت پالایش میعانات گازی آدیش جنوبی طبق لیست </t>
  </si>
  <si>
    <t>97/11/07</t>
  </si>
  <si>
    <t xml:space="preserve">حواله ساتنا به حساب IR18 0120 0000 0000 5689 6805 63 نزد بانک ملت شعبه خیابان بزرگمهر به نام شرکت مهندسی ماه تابان رایانه جهت پرداخت فاکتور 13173 مورخ 97/09/21 و فاکتور 13521 مورخ 97/10/24 و فاکتور 13599  مورخ 97/11/02 </t>
  </si>
  <si>
    <t>حواله ساتنا به حساب IR090120010000004353534666  نزد بانک ملت به نام آقای سید محمد طباطبایی بابت فاکتورهای شماره 3156،044595 و 044596 فروشگاه آرین رایان</t>
  </si>
  <si>
    <t>واریز ساتنا به حساب  IR37 0150 0000 0190 8300 9448 10  نزد بانک سپه به نام قاسم کشاورز بابت تسویه هزینه آذر ماه اجاره خودروی مزدا</t>
  </si>
  <si>
    <t>واریز ساتنا به حساب IR18 0190 0000 0010 3467 3920 09 نزد بانک صادرات به نام آقای علی زاهدیان بابت پرداخت هزینه اجاره خوابگاه تا پایان آذر ماه</t>
  </si>
  <si>
    <t>97/11/08</t>
  </si>
  <si>
    <t>97/11/10</t>
  </si>
  <si>
    <t>حواله ساتنا به حساب IR29 0120 0000 0000 3980 2008 65 نزد بانک ملت به نام شرکت کاربین بهبرد بابت تسویه پیش فاکتور شماره 952633 مورخ 97/11/06</t>
  </si>
  <si>
    <t>نوژن</t>
  </si>
  <si>
    <t>همکاران سیستم</t>
  </si>
  <si>
    <t>پرتو پرواز فردا</t>
  </si>
  <si>
    <t>حواله ساتنا به حساب IR74 0120 0100 0005 9181 50  نزد بانک ملت به نام یوسف امیری ابراهیم محمدی بابت صورتحساب فروش قطعات فلزی و بتنی</t>
  </si>
  <si>
    <t>97/11/14</t>
  </si>
  <si>
    <t>پرداخت به آقای مزدک عبائی به شماره 1-423037-800-142 نزد بانک اقتصادنوین بابت تسویه قرارداد برگزاری دوره PMBOK</t>
  </si>
  <si>
    <t>97/11/24</t>
  </si>
  <si>
    <t>97/11/27</t>
  </si>
  <si>
    <t>حواله ساتنا به حساب IR18 0120 0000 0000 5689 6805 63 نزد بانک ملت شعبه خیابان بزرگمهر به نام شرکت مهندسی ماه تابان رایانه جهت پرداخت فاکتور 13776 مورخ 97/11/23</t>
  </si>
  <si>
    <t>حواله ساتنا به حساب IR87 0570 0216 8000 0240 3650 01 نزد بانک پاسارگاد به نام آقای علی شریفی به کد ملی 1 79 2199 062 بابت هزینه خرید شیشه و لاستیک و قاب رومیزی میزهای اداری</t>
  </si>
  <si>
    <t>حواله ساتنا به حساب IR32 0150 0000 0089 6302 9162 04  نزد بانک سپه به نام بهرام سوارکوب به شماره ملی 1755071205 بابت پیش پرداخت فاکتور فروش مورخ 97/11/15 جهت خرید اسکرو، الکترو موتور و پمپ آب</t>
  </si>
  <si>
    <t>97/11/25</t>
  </si>
  <si>
    <t xml:space="preserve">حواله ساتنا به حساب IR63 0190 0000 0010 5225 4610 06 نزد بانک صادرات به نام آقای امیر حسین شاملو بابت فاکتور شماره 0967 مورخ 97/11/13 گروه تولیدی صنعتی شاملو (مبلمان نوژن) </t>
  </si>
  <si>
    <t>97/11/30</t>
  </si>
  <si>
    <t>حواله ساتنا به حساب IR29 0120 0000 0000 3980 2008 65 نزد بانک ملت به نام شرکت کاربین بهبرد بابت تسویه پیش فاکتور شماره 952643 مورخ 97/11/17</t>
  </si>
  <si>
    <t>حواله ساتنا به حساب IR60  0120  0200  0000  1714  4834  95 نزد بانک ملت به نام آقای عباس رحیمی بابت فاکتور شماره 159 شرکت ارتباط نوین جهت خرید گوشی تلفن</t>
  </si>
  <si>
    <t>واریز از تنخواه اقای مبصری</t>
  </si>
  <si>
    <t>97/10/06</t>
  </si>
  <si>
    <t>97/10/10</t>
  </si>
  <si>
    <t xml:space="preserve">واریز سود سپرده </t>
  </si>
  <si>
    <t>واریز از صندوق اتیه</t>
  </si>
  <si>
    <t>97/10/16</t>
  </si>
  <si>
    <t>97/10/30</t>
  </si>
  <si>
    <t xml:space="preserve">واریزسود دی </t>
  </si>
  <si>
    <t>97/10/31</t>
  </si>
  <si>
    <t xml:space="preserve">واریزسود  </t>
  </si>
  <si>
    <t>97/11/06</t>
  </si>
  <si>
    <t>97/11/13</t>
  </si>
  <si>
    <t>97/11/16</t>
  </si>
  <si>
    <t>97/11/23</t>
  </si>
  <si>
    <t xml:space="preserve">واریز ساتنا به حساب   IR940 180 000 000 000 212114022 نزد بانک تجارت شعبه کوی دانشگاه کد 2120 به نام شرکت طرح نو اندیشان بابت صورت وضعیت تحویل مدارک فنی  قرارداد شماره ADISH-E-CO-CV-002  </t>
  </si>
  <si>
    <t>واریز به شماره حساب IR36  0120  0200  0000  8379  6029  26 نزد بانک ملت به نام شرکت پالایش میعانات گازی آدیش جنوبی</t>
  </si>
  <si>
    <t>97/09/28</t>
  </si>
  <si>
    <t>97/12/06</t>
  </si>
  <si>
    <t>حواله ساتنا به حسابIR240180000000000023127660  نزد بانک تجارت به نام شرکت مهندسین مشاور پی کاو بابت پرداخت صورت حساب قطعی مطالعات ژئوتکنیک طبق قرارداد  ADSH-E-CO_CV-004 و شماره فاکتور 124/ پ</t>
  </si>
  <si>
    <t>حواله ساتنا به حسابIR950 16 0000000000903348066  نزد بانک کشاورزی به نام شرکت پالایش میعانات گازی آدیش جنوبی بابت افتتاح حساب</t>
  </si>
  <si>
    <t>97/12/08</t>
  </si>
  <si>
    <t>حواله ساتنا به حساب IR18 0120 0000 0000 5689 6805 63 نزد بانک ملت شعبه خیابان بزرگمهر به نام شرکت مهندسی ماه تابان رایانه جهت پرداخت فاکتور 13874مورخ 97/12/02</t>
  </si>
  <si>
    <t>97/12/07</t>
  </si>
  <si>
    <t>97/12/11</t>
  </si>
  <si>
    <t>97/12/12</t>
  </si>
  <si>
    <t>97/12/13.</t>
  </si>
  <si>
    <t>97/12/14</t>
  </si>
  <si>
    <t>انتقال به حساب 1-140372-833-135 به نام محسن صفائی فراهانی</t>
  </si>
  <si>
    <t>97/12/15</t>
  </si>
  <si>
    <t>97/12/09</t>
  </si>
  <si>
    <t>واریز توسط سهامداران - غلامرضا صحرائیان</t>
  </si>
  <si>
    <t>واریز توسط سهامداران - توسعه سرمایه گذاری سامان</t>
  </si>
  <si>
    <t>چک ابطالی</t>
  </si>
  <si>
    <t xml:space="preserve">
واریز به حساب 1-140372-843-110 بابت علی الحساب تنخواه مدیرعامل
</t>
  </si>
  <si>
    <t xml:space="preserve">
واریز به حساب  1-140372-843-110 بابت علی الحساب تنخواه مدیرعامل
</t>
  </si>
  <si>
    <t xml:space="preserve">
واریز به حساب آقای محسن صفائی فراهانی بابت عودت بدهی
</t>
  </si>
  <si>
    <t>97/12/18</t>
  </si>
  <si>
    <t>حواله ساتنا به حساب IR90 0560 0816 8100 1066 5860 01   نزد بانک سامان شعبه اریکه ایرانیان کد 816  به نام شرکت آینده نگاران جهت خرید آنتی ویروس طی پیش فاکتور شماره 111233 مورخ 97/12/14</t>
  </si>
  <si>
    <t>حواله ساتنا به حساب IR18 0120 0000 0000 5689 6805 63 نزد بانک ملت شعبه خیابان بزرگمهر به نام شرکت مهندسی ماه تابان رایانه جهت پرداخت فاکتور 13987مورخ 97/12/13</t>
  </si>
  <si>
    <t xml:space="preserve">حواله ساتنا به حساب IR63 0190 0000 0010 5225 4610 06 نزد بانک صادرات به نام آقای امیر حسین شاملو بابت فاکتور شماره 0978 مورخ 97/12/08 گروه تولیدی صنعتی شاملو (مبلمان نوژن) </t>
  </si>
  <si>
    <t>97/12/20</t>
  </si>
  <si>
    <t>حواله ساتنا به حساب IR32 0150 0000 0089 6302 9162 04  نزد بانک سپه به نام بهرام سوارکوب به شماره ملی 1755071205 بابت تسویه فاکتور فروش مورخ 97/11/15 جهت خرید اسکرو، الکترو موتور و پمپ آب</t>
  </si>
  <si>
    <t xml:space="preserve">پرداخت حقوق و دستمزد اسفند ماه کارکنان شرکت پالایش میعانات گازی آدیش جنوبی طبق لیست </t>
  </si>
  <si>
    <t>97/12/22</t>
  </si>
  <si>
    <t>97/12/25</t>
  </si>
  <si>
    <t>حواله ساتنا به حساب IR87 0570 0216 8000 0240 3650 01 نزد بانک پاسارگاد به نام آقای علی شریفی به کد ملی 1 79 2199 062 بابت هزینه خرید رومیزی آلومینیومی و شیشه و لاستیک</t>
  </si>
  <si>
    <t>97/12/26</t>
  </si>
  <si>
    <t>97/12/27</t>
  </si>
  <si>
    <t>واریز به حساب آقای محسن صفایی فراهانی بابت عودت مطالبات ایشان</t>
  </si>
  <si>
    <t>واریز به حساب اقای احمد بشکنی بابت تسویه کارکرد بهمن ماه واسفندماه 97</t>
  </si>
  <si>
    <t>98/01/21</t>
  </si>
  <si>
    <t xml:space="preserve">تسویه سنوات تا پایان سال 97 کارکنان شرکت پالایش میعانات گازی آدیش جنوبی طبق لیست </t>
  </si>
  <si>
    <t>واریز به حساب آقای محسن خستو به شماره ملی 4839597987  به شماره حساب 1-2688597-701-111 نزد بانک اقتصادنوین</t>
  </si>
  <si>
    <t>حواله ساتنا به حساب شماره  IR530 5600- 8208- 1002- 9673 -4200- 1 نزد بانک سامان به نام موسسه حسابرسی و خدمات مالی کوشا منش بابت 75%از قراردادش 98/732/2 مورخ 97/12/20</t>
  </si>
  <si>
    <t>98/01/25</t>
  </si>
  <si>
    <t>98/01/26</t>
  </si>
  <si>
    <t>حواله ساتنا به حساب IR18 0120 0000 0000 5689 6805 63 نزد بانک ملت شعبه خیابان بزرگمهر به نام شرکت مهندسی ماه تابان رایانه جهت پرداخت فاکتور 14279 و14268مورخ 98/01/24</t>
  </si>
  <si>
    <t>9801/28</t>
  </si>
  <si>
    <t>9801/27</t>
  </si>
  <si>
    <t xml:space="preserve">حواله ساتنا به حسابIR240180000000000023127660  نزد بانک تجارت به نام شرکت مهندسین مشاور پی کاو بابت آزادسازی سپرده بیمه قرارداد مطالعات ژئوتکنیک طبق قرارداد ش ADiSH-E-CO_CV-004 </t>
  </si>
  <si>
    <t>98/02/03</t>
  </si>
  <si>
    <t xml:space="preserve">واریز به حساب IR 64 0180 0000 0000 0235 1171 42 به نام رستم فرودیان به کد ملی 0036649368 بابت فاکتور خدمات ماشین های اداری رامتین </t>
  </si>
  <si>
    <t xml:space="preserve">واریز ساتنا به حساب   IR94 0180 0000 0000 0212 1140 22 نزد بانک تجارت شعبه کوی دانشگاه کد 2120 به نام شرکت طرح نو اندیشان بابت اضافه کاری + صورت وضعیت 10%قرارداد شماره ADISH-E-CO-CV-002  </t>
  </si>
  <si>
    <t>98/02/07</t>
  </si>
  <si>
    <t xml:space="preserve">حواله ساتنا به حساب IR63 0190 0000 0010 5225 4610 06 نزد بانک صادرات به نام آقای امیر حسین شاملو بابت فاکتور شماره 0996 مورخ 98/01/28 گروه تولیدی صنعتی شاملو (مبلمان نوژن) </t>
  </si>
  <si>
    <t>حواله ساتنا به حساب IR03 0120 0000 0000 0152 5609 63 نزد بانک ملت به نام شرکت دنیای پردازش بابت پ فاکتور شماره 32088/2 مورخ 98/02/03 نرم افزار حضور و غیاب و گردش کار</t>
  </si>
  <si>
    <t>98/02/08</t>
  </si>
  <si>
    <t>واریز ساتنا به حساب IR18 0190 0000 0010 3467 3920 09 نزد بانک صادرات به نام آقای علی زاهدیان بابت پرداخت هزینه اجاره خوابگاه تا پایان 97</t>
  </si>
  <si>
    <t>98/02/10</t>
  </si>
  <si>
    <t>98/02/15</t>
  </si>
  <si>
    <t>حواله ساتنا به حساب IR60  0120  0200  0000  1714  4834  95 نزد بانک ملت به نام آقای عباس رحیمی بابت فاکتور   شرکت ارتباط نوین جهت خرید گوشی تلفن</t>
  </si>
  <si>
    <t xml:space="preserve">
واریز به حساب  1 - 5250821 - 800 - 215 به نام خانم سپیده بیاتی به شماره ملی 2659584060  بابت عودت اقساط اضافه ی کسرشده بابت مساعده ی پرداختی به ایشان
</t>
  </si>
  <si>
    <t>98/02/18</t>
  </si>
  <si>
    <t xml:space="preserve">حواله ساتنا به حساب IR63 0190 0000 0010 5225 4610 06 نزد بانک صادرات به نام آقای امیر حسین شاملو بابت فاکتور شماره 1000 مورخ 98/02/10 گروه تولیدی صنعتی شاملو (مبلمان نوژن) </t>
  </si>
  <si>
    <t>98/02/17</t>
  </si>
  <si>
    <t>حواله ساتنا به حساب IR18 0120 0000 0000 5689 6805 63 نزد بانک ملت شعبه خیابان بزرگمهر به نام شرکت مهندسی ماه تابان رایانه جهت پرداخت فاکتور 14269 مورخ 98/02/04</t>
  </si>
  <si>
    <t>واریز به حساب  1-1841173-800- 205 نزد بانک اقتصادنوین به نام شریعت رضوی جهت پرداخت مساعده</t>
  </si>
  <si>
    <t>واریز به حساب آقای محسن صفائی فراهانی بابت عودت بدهی</t>
  </si>
  <si>
    <t>98/02/21</t>
  </si>
  <si>
    <t>98/02/22</t>
  </si>
  <si>
    <t>98/02/25</t>
  </si>
  <si>
    <t>98/02/28</t>
  </si>
  <si>
    <t>98/02/30</t>
  </si>
  <si>
    <t>98/02/31</t>
  </si>
  <si>
    <t>واریز ساتنا به حساب  IR37 0150 0000 0190 8300 9448 10  نزد بانک سپه به نام قاسم کشاورز بابت تسویه هزینه فروردین  ماه 97 اجاره خودروی مزدا</t>
  </si>
  <si>
    <t xml:space="preserve">واریز ساتنا به حساب IR18 0190 0000 0010 3467 3920 09 نزد بانک صادرات به نام آقای علی زاهدیان بابت پرداخت هزینه فروردین و اردیبهشت 98خوابگاه </t>
  </si>
  <si>
    <t>98/03/05</t>
  </si>
  <si>
    <t>حواله ساتنا به حساب IR18 0120 0000 0000 5689 6805 63 نزد بانک ملت شعبه خیابان بزرگمهر به نام شرکت مهندسی ماه تابان رایانه جهت پرداخت فاکتورهای 14686و14670و14687 مورخ 29و98/02/30</t>
  </si>
  <si>
    <t>98/03/04</t>
  </si>
  <si>
    <t xml:space="preserve">حواله ساتنا به حساب  IR 74 0180 0000 0000 5724 0321 00 نزد بانک تجارت شعبه ارم شیراز به نام شرکت فاتح صنعت کیمیا بابت پرداخت علی الحساب
</t>
  </si>
  <si>
    <t>1398/03/07</t>
  </si>
  <si>
    <t>1398/03/08</t>
  </si>
  <si>
    <t xml:space="preserve">
واریز به حساب 1-6248479-800-215  به نام خانم لیلا کرمی به شماره ملی 0066710022  بابت مساعده ی پرداختی به ایشان
</t>
  </si>
  <si>
    <t>1398/03/12</t>
  </si>
  <si>
    <t>واریز به حساب 1-140372-843-110 به نام محسن صفائی فراهانی بابت عودت بدهی</t>
  </si>
  <si>
    <t xml:space="preserve">حواله ساتنا به حسابIR51 0120 0000 000 8329 9603 14  نزد بانک ملت به نام شرکت راهکار برتر آراد پایا بابت پیش پرداخت قرارداد شماره APC-C-0-158 </t>
  </si>
  <si>
    <t>حواله ساتنا به حسابIR51 0120 0000 0008329 9603 14  نزد بانک ملت به نام شرکت راهکار برتر آراد پایا بابت خدمات نگهداری و پشتیبانی سیستم پوپک طی صورت وضعیت های موقت شماره 98074و98044</t>
  </si>
  <si>
    <t>1398/03/13</t>
  </si>
  <si>
    <t>1398/03/18</t>
  </si>
  <si>
    <t>واریز به حساب آقای امیر کیوان شفیع پور به شماره شبای IR02 0120 0000 0000 8145 8797 37 بابت شارژ تنخواه کنگان</t>
  </si>
  <si>
    <r>
      <t>واریز به حساب آقای احسان کاهه به شماره حساب</t>
    </r>
    <r>
      <rPr>
        <sz val="12"/>
        <rFont val="B Nazanin"/>
        <charset val="178"/>
      </rPr>
      <t xml:space="preserve"> 1-6212139-800-215</t>
    </r>
    <r>
      <rPr>
        <sz val="12"/>
        <color theme="1"/>
        <rFont val="B Nazanin"/>
        <charset val="178"/>
      </rPr>
      <t xml:space="preserve"> نزد بانک اقتصادنوین بابت حقوق اردیبهشت ماه98و تصفیه قطعی تا تاریخ 98/02/31</t>
    </r>
  </si>
  <si>
    <t>چک ابطال شده است</t>
  </si>
  <si>
    <t>حواله ساتنا به حساب IR21 0120 0200 0000 4421 5120 85 نزد بانک ملت به نام شرکت خدمات مسافرت هوایی پرتو پرواز فردا بابت هزینه بلیط ماموریت همکاران</t>
  </si>
  <si>
    <t xml:space="preserve">حواله ساتنا به حساب  IR 74 0180 0000 0000 5724 0321 00 نزد بانک تجارت شعبه ارم شیراز به نام شرکت فاتح صنعت کیمیا بابت پرداخت باقی مانده هزینه های سفته و کارمزد
</t>
  </si>
  <si>
    <t>1398/03/21</t>
  </si>
  <si>
    <t xml:space="preserve">واریز به شماره حساب IR74 0180 0000 0045 0725 25 نزد بانک تجارت شعبه مرکزی کد 40 به نام شرکت فرآب بابت 10% سپرده نقدی ضمانت نامه پیش پرداخت </t>
  </si>
  <si>
    <t>ابطال</t>
  </si>
  <si>
    <t>1398/04/25</t>
  </si>
  <si>
    <t>شرکت فرآب</t>
  </si>
  <si>
    <t xml:space="preserve"> 10دوم سپرده نقدی ضمانت نامه پیش پرداخت %</t>
  </si>
  <si>
    <t>واریز به شماره حساب IR5101 1000 0000 2000 7943 2000 شرکت پالایش میعانات گازی آدیش جنوبی نزد بانک صنعت و معدن شعبه توسعه ملی بابت 50% کارمزد تمدید اعتبار اسنادی شماره 96109363 ابلاغ شده طی نامه شماره ارز/ت/98/285 مورخ 98/03/09</t>
  </si>
  <si>
    <t>1398/03/26</t>
  </si>
  <si>
    <t xml:space="preserve">
واریز به حساب  1 - 2688597 - 800 - 215 به نام آقای محسن خستو به شماره ملی 4839597987  بابت پرداخت قبض برق کارگاه کنگان به  شرکت توزیع برق استان بوشهر با شناسه قبض 1328 8271 2575 7و شناسه قبض 0207 483938
</t>
  </si>
  <si>
    <t>1398/03/29</t>
  </si>
  <si>
    <t>حواله ساتنا به حساب IR18 0120 0000 0000 5689 6805 63 نزد بانک ملت شعبه خیابان بزرگمهر به نام شرکت مهندسی ماه تابان رایانه جهت پرداخت فاکتور 14915و14894 مورخ 98/03/21</t>
  </si>
  <si>
    <t>1398/04/02</t>
  </si>
  <si>
    <t xml:space="preserve">حواله ساتنا به حساب IR63 0190 0000 0010 5225 4610 06 نزد بانک صادرات به نام آقای امیر حسین شاملو بابت فاکتور شماره 1014و1006 مورخ 98/03/25و 98/03/25 گروه تولیدی صنعتی شاملو (مبلمان نوژن) </t>
  </si>
  <si>
    <t xml:space="preserve">بابت واریز ساتنا به حساب  IR37 0150 0000 0190 8300 9448 10  نزد بانک سپه به نام قاسم کشاورز بابت تسویه هزینه اردیبهشت ماه اجاره خودروی مزدا </t>
  </si>
  <si>
    <t xml:space="preserve">بابت حواله ساتنا به حساب IR 22 0120 0200 0000 4505 3485 85نزد بانک ملت به نام آقای مهرداد محمودی به شماره ملی0083833617 بابت سیلوی سیمانی 50تنی باورق 4 و5 طی فاکتور مورخ 1398/04/01 تهران سیلو </t>
  </si>
  <si>
    <t>1398/04/05</t>
  </si>
  <si>
    <t xml:space="preserve">پرداخت هزینه های مهندسی خرداد ماه شرکت پالایش میعانات گازی آدیش جنوبی طبق لیست </t>
  </si>
  <si>
    <t>1398/04/10</t>
  </si>
  <si>
    <t>1398/04/10.</t>
  </si>
  <si>
    <t>واریز به حساب آقای بهزاد افشه به شماره  1-6279229-800-215   نزد بانک اقتصادنوین بابت حقوق خرداد ماه98و تصفیه قطعی تا تاریخ 98/03/20</t>
  </si>
  <si>
    <t>واریز به حساب 1-140372-843-110 به نام آقای محسن صفائی فراهانی بابت عودت بدهی</t>
  </si>
  <si>
    <t>1398/04/12</t>
  </si>
  <si>
    <t>واریز به حساب 1-5942533-800-215 نزد بانک اقتصادنوین به نام حسین سمیعی کیا جهت پرداخت مساعده</t>
  </si>
  <si>
    <t>1398/04/15</t>
  </si>
  <si>
    <t>حواله ساتنا به حساب شماره  IR10 0690 0108 8400 0995 3520 01 نزد بانک ایران زمین به نام موسسه حسابرسی و خدمات مالی کوشا منش بابت  تصفیه فاکتور 1531 از قرارداد ش 98/732/2 مورخ 97/12/20</t>
  </si>
  <si>
    <t>حواله ساتنا به حساب IR46012001000000 4421 5120 85 نزد بانک ملت به نام شرکت خدمات مسافرت هوایی پرتو پرواز فردا بابت هزینه بلیط طی صورتحساب شماره 14 و 15</t>
  </si>
  <si>
    <t>1398/04/18</t>
  </si>
  <si>
    <t xml:space="preserve">
واریز به حساب  1 - 2688597 - 800 - 215 به نام آقای محسن خستو به شماره ملی 4839597987  بابت شارژ تنخواه تهران و پرداخت بارنامه های کنگان
</t>
  </si>
  <si>
    <t xml:space="preserve">حواله ساتنا به حساب IR46 01700 00000 303820359009  نزد بانک ملی به نام آقای علی بوشهری بابت تصفیه فاکتور شماره 203 فروشگاه پارس شوفاژ </t>
  </si>
  <si>
    <t>1398/04/19</t>
  </si>
  <si>
    <t>حواله ساتنا به حساب IR18 0120 0000 0000 5689 6805 63 نزد بانک ملت شعبه خیابان بزرگمهر به نام شرکت مهندسی ماه تابان رایانه جهت پرداخت فاکتور 15183 مورخ 98/04/12</t>
  </si>
  <si>
    <t>حواله ساتنا به حساب IR41 017 000 000 010 76 98 24 8001 نزد بانک ملی به نام شرکت نوین افزار خط سبز بابت پرداخت فاکتور شماره 0880 مورخ 98/04/09</t>
  </si>
  <si>
    <t xml:space="preserve">حواله ساتنا به حساب IR63 0190 0000 0010 5225 4610 06 نزد بانک صادرات به نام آقای امیر حسین شاملو بابت پرداخت فاکتور شماره 1019 مورخ 98/04/06 گروه تولیدی صنعتی شاملو (مبلمان نوژن) </t>
  </si>
  <si>
    <t>حواله ساتنا به حساب IR19 0120 0200 0000 8409 4346 12  نزد بانک ملت  به نام آقای خلیل ذریه عباسی بابت شارژ تنخواه کنگان</t>
  </si>
  <si>
    <t>1398/04/23</t>
  </si>
  <si>
    <t xml:space="preserve">حواله ساتنا به حساب IR19 0120 0200 0000 8409 4346 12  نزد بانک ملت  به نام آقای خلیل ذریه عباسی جهت پرداخت هزینه بارنامه و شارژ تنخواه کنگان </t>
  </si>
  <si>
    <t>1398/04/24</t>
  </si>
  <si>
    <t>حواله ساتنا به حساب IR27 0120 0000 0000 4794 7826 51 نزد بانک ملت شعبه پیچ شمیران به نام شرکت مهندسی پاژ پرداز سامانه جهت پرداخت فاکتور 0826 و 0827 مورخ 98/04/15 و 98/04/17</t>
  </si>
  <si>
    <t>حواله ساتنا به حساب IR87 0570 0216 8000 0240 3650 01 نزد بانک پاسارگاد به نام آقای علی شریفی به کد ملی 1 79 2199 062 بابت هزینه خرید شیشه و لاستیک و قاب رومیزی میزهای اداری فاکتور 0184</t>
  </si>
  <si>
    <t>حواله ساتنا به حساب IR46012001000000 4421 5120 85 نزد بانک ملت به نام شرکت خدمات مسافرت هوایی پرتو پرواز فردا بابت هزینه بلیط طی صورتحساب شماره 16</t>
  </si>
  <si>
    <t>حواله ساتنا به حساب IR82 0130 1000 000 0043 3971 41 نزد بانک رفاه به نام شرکت ترسیم گران اندیشه پویا بابت خرید کامپیوتر طی صورتحساب های شماره 1406 و 1407 مورخ 98/04/17</t>
  </si>
  <si>
    <t xml:space="preserve">حواله ساتنا به حساب IR63 0190 0000 0010 5225 4610 06 نزد بانک صادرات به نام آقای امیر حسین شاملو بابت پرداخت فاکتور شماره 1022 مورخ 98/04/15 گروه تولیدی صنعتی شاملو (مبلمان نوژن) </t>
  </si>
  <si>
    <t>حواله ساتنا به حساب IR85 0150 0000 0199 2300 3974 05 نزد بانک سپه به نام خانم فاطمه صیادی بابت پیش پرداخت قرارداد 026240 مورخ 98/04/22</t>
  </si>
  <si>
    <t>حواله ساتنا به حسابIR51 0120 0000 0000 8329 9603 14  نزد بانک ملت به نام شرکت راهکار برتر آراد پایا بابت نصب زیر سیستم های قرارداد ها ، مستندات و افزونه ایمیل طی پیش فاکتور 98096</t>
  </si>
  <si>
    <t>1398/04/26</t>
  </si>
  <si>
    <t>واریز به شماره حساب 1-106000-815-156 نزد بانک اقتصاد نوین  به نام شرکت بیمه نوین بابت الحاقیه بیمه تجهیزات مورد نیاز پالایشگاه به شماره بیمه نامه   96/02/99/8055/2006744</t>
  </si>
  <si>
    <t>1398/04/31</t>
  </si>
  <si>
    <t xml:space="preserve">
واریز به حساب  1 - 2688597 - 800 - 215 به نام آقای محسن خستو به شماره ملی 4839597987  بابت شارژ تنخواه تهران 
</t>
  </si>
  <si>
    <t xml:space="preserve">حواله ساتنا به حساب IR19 0120 0200 0000 8409 4346 12  نزد بانک ملت  به نام آقای خلیل ذریه عباسی جهت پرداخت هزینه کرایه جرثقیل ، برق بچینگ ،فاکتور بلوک و سیمان و هزینه های متفرقه </t>
  </si>
  <si>
    <t>حواله ساتنا به حساب IR27 0120 0000 0000 4794 7826 51 نزد بانک ملت شعبه پیچ شمیران به نام شرکت مهندسی پاژ پرداز سامانه جهت پرداخت فاکتور 0835 مورخ 98/04/29</t>
  </si>
  <si>
    <t>1398/05/01</t>
  </si>
  <si>
    <t xml:space="preserve">حواله ساتنا به حساب IR06 0120 0000 0000 4468 6504 05  نزد بانک ملت  به نام شرکت فن آوری پند کاسپین بابت پیش پرداخت قرارداد خرید باسکول به شمارهADSH-P-CO-GE-010  </t>
  </si>
  <si>
    <t>حواله ساتنا به حساب IR15 0120 0000 0000 1610 7933 69  نزد بانک ملت  به نام شرکت مهندسین مشاور عمران عصر سپید بابت پرداخت صورتحساب مورخ 98/04/29</t>
  </si>
  <si>
    <t>حواله ساتنا به حساب IR87 0570 0216 8000 0240 3650 01 نزد بانک پاسارگاد به نام آقای علی شریفی به کد ملی 1 79 2199 062 بابت هزینه خرید شیشه و لاستیک و قاب رومیزی میزهای اداری فاکتور 0903</t>
  </si>
  <si>
    <t>1398/05/05</t>
  </si>
  <si>
    <t>حواله ساتنا به حساب IR46012001000000 4421 5120 85 نزد بانک ملت به نام شرکت خدمات مسافرت هوایی پرتو پرواز فردا بابت هزینه بلیط طی صورتحساب شماره 17</t>
  </si>
  <si>
    <t xml:space="preserve">حواله ساتنا به حساب IR63 0190 0000 0010 5225 4610 06 نزد بانک صادرات به نام آقای امیر حسین شاملو بابت پرداخت فاکتور شماره 1030  مورخ 98/04/27 گروه تولیدی صنعتی شاملو (مبلمان نوژن) </t>
  </si>
  <si>
    <t xml:space="preserve">حواله ساتنا به حساب IR60  0120  0200  0000  1714  4834  95 نزد بانک ملت به نام آقای عباس رحیمی بابت فاکتور شماره  204 ارتباط نوین P.B.X جهت خرید گوشی تلفن، کارت افزایش داخلی و کابل </t>
  </si>
  <si>
    <t>.</t>
  </si>
  <si>
    <t>حواله ساتنا به حساب IR74  0120  0000  0000  4428  1696  26 نزد بانک ملت شعبه لامرد به نام شرکت حمل و نقل کهورک بار لامرد بابت خرید سیمان به همراه حمل جهت سایت کنگان طی پیش فاکتور شماره 98-038</t>
  </si>
  <si>
    <t xml:space="preserve">حواله ساتنا به حساب IR68  0120  0000  0000  0027  1131 85 نزد بانک ملت شعبه کندوان به نام آقای کریم عربیان ( فروشگاه نقش آرا ) جهت خرید ترازیاب طی پیش فاکتور شماره 3573 </t>
  </si>
  <si>
    <t>1398/05/07</t>
  </si>
  <si>
    <t xml:space="preserve">پرداخت حقوق و دستمزد تیرماه کارکنان شرکت پالایش میعانات گازی آدیش جنوبی طبق لیست </t>
  </si>
  <si>
    <t xml:space="preserve">پرداخت هزینه های مهندسی تیر ماه شرکت پالایش میعانات گازی آدیش جنوبی طبق لیست </t>
  </si>
  <si>
    <t>حواله ساتنا به حساب IR74 0120 0100 0000 5702 9181 50  نزد بانک ملت به آقای یوسف امیری ابراهیم محمدی بابت صورتحساب فروش فنداسیون و بلوک سیمانی به نام تلاشگران صفه به شماره 552 مورخ 98/05/02</t>
  </si>
  <si>
    <t xml:space="preserve">حواله ساتنا به حساب IR32 0150 0000 0089 6302 9162 04  نزد بانک سپه به نام بهرام سوارکوب به شماره ملی 1755071205 پیش پرداخت فاکتور خرید اسکرو و الکترو موتور </t>
  </si>
  <si>
    <t>1398/05/13</t>
  </si>
  <si>
    <t>1398/05/14</t>
  </si>
  <si>
    <t>حواله ساتنا به حساب شماره  IR10 0690 0108 8400 0995 3520 01 نزد بانک ایران زمین به نام موسسه حسابرسی و خدمات مالی کوشا منش بابت  75% پیش پرداخت قرارداد شماره 98/938/2 جهت رسیدگی افزایش سرمایه</t>
  </si>
  <si>
    <t>1398/05/16</t>
  </si>
  <si>
    <t>مبلغ به ریال :</t>
  </si>
  <si>
    <t xml:space="preserve">: مبلغ به حروف </t>
  </si>
  <si>
    <t>حواله ساتنا به حسابIR19 0120 0000 0000 0140 4634 17  طبق درخواست شرکت سپهر مولد به ش SM/1398/7 مورخ 98/05/19</t>
  </si>
  <si>
    <t>1398/05/19</t>
  </si>
  <si>
    <t xml:space="preserve">حواله ساتنا به حسابIR24 0180 0000 0000 0023 1276 60  نزد بانک تجارت به نام شرکت مهندسین مشاور پی کاو بابت پرداخت صورت وضعیت شماره یک مطالعات ژئوتکنیک طبق قرارداد ش ADISH-E-CO_CV-005 </t>
  </si>
  <si>
    <t>1398/05/22</t>
  </si>
  <si>
    <t xml:space="preserve">حواله ساتنا به حساب IR32 0150 0000 0089 6302 9162 04  نزد بانک سپه به نام بهرام سوارکوب به شماره ملی 1755071205 تسویه کامل  فاکتور 3619 خرید اسکرو و الکترو موتور </t>
  </si>
  <si>
    <t>حواله ساتنا به حساب IR19 0120 0200 0000 8409 4346 12  نزد بانک ملت  به نام آقای خلیل ذریه عباسی بابت پرداخت علی الحساب  تنخواه جهت هزینه های بچینگ در سایت</t>
  </si>
  <si>
    <t>حواله ساتنا به حساب IR19 0120 0200 0000 8409 4346 12  نزد بانک ملت  به نام آقای خلیل ذریه عباسی بابت پرداخت جهت شارژ تنخواه جهت سایت</t>
  </si>
  <si>
    <t>1398/05/23</t>
  </si>
  <si>
    <t xml:space="preserve">حواله ساتنا به حساب IR32 0100 0040 0112 3804 0225 16  بنام خزانه بانک مرکزی به شناسه پرداخت 342123873293960950100010316000 بابت پرداخت صورتحساب شماره 9802592 مورخ 1398/05/22 جهت جانمایی محل تخلیه نخاله ساختمانی به سازمان منطقه ویزه اقتصادی انرژی پارس </t>
  </si>
  <si>
    <t xml:space="preserve">حواله ساتنا به حساب IR59 0120 0000 0000 8527 0276 01  بنام شرکت افلاک صنعت ماهان بابت علی الحساب قرارداد ADSH-C-CO-CV-001 </t>
  </si>
  <si>
    <t>1398/05/28</t>
  </si>
  <si>
    <t xml:space="preserve">
واریز به حساب  1 - 2688597 - 800 - 215 به نام آقای محسن خستو به شماره ملی 4839597987  بابت شارژ تنخواه دفتر مرکزی
</t>
  </si>
  <si>
    <t>واریز به شماره حساب IR36  0120  0200  0000  8379  6029  26 نزد بانک ملت به نام شرکت پالایش میعانات گازی آدیش جنوبی بابت پرداخت به پیمانکار مهندسی تفصیلی</t>
  </si>
  <si>
    <t>واریز به شماره حساب IR82  0120  0000  0000  8375  6509  27 نزد بانک ملت به نام شرکت پالایش میعانات گازی آدیش جنوبی بابت پرداخت بیمه و مالیات و هزینه های جاری کنگان</t>
  </si>
  <si>
    <r>
      <t>واریز به حساب آقای بنکدار به شماره حساب</t>
    </r>
    <r>
      <rPr>
        <sz val="12"/>
        <rFont val="B Nazanin"/>
        <charset val="178"/>
      </rPr>
      <t>1-</t>
    </r>
    <r>
      <rPr>
        <sz val="12"/>
        <color theme="1"/>
        <rFont val="B Nazanin"/>
        <charset val="178"/>
      </rPr>
      <t>3224873-701-210 نزد بانک اقتصادنوین بابت حقوق تیر ماه98و تصفیه قطعی تا تاریخ 98/04/31</t>
    </r>
  </si>
  <si>
    <t>1398/06/04</t>
  </si>
  <si>
    <t xml:space="preserve">حواله ساتنا به حساب IR63 0190 0000 0010 5225 4610 06 نزد بانک صادرات به نام آقای امیر حسین شاملو بابت پرداخت فاکتور شماره 1044  مورخ 98/05/23 گروه تولیدی صنعتی شاملو (مبلمان نوژن) </t>
  </si>
  <si>
    <t>حواله ساتنا به حساب IR21 0120 0200 0000 4421 5120 85 نزد بانک ملت به نام شرکت خدمات مسافرت هوایی پرتو پرواز فردا بابت صورتحساب 20 و 19</t>
  </si>
  <si>
    <t>1398/06/05</t>
  </si>
  <si>
    <t>1398/06/06</t>
  </si>
  <si>
    <t>پرداخت حقوق و دستمزد  مردادماه 1398 کارکنان شرکت پالایش میعانات گازی آدیش جنوبی طبق لیست پیوست</t>
  </si>
  <si>
    <t>پرداخت هزینه های مهندسی مردادماه 1398 شرکت پالایش میعانات گازی آدیش جنوبی طبق لیست پیوست</t>
  </si>
  <si>
    <t>1398/06/09</t>
  </si>
  <si>
    <t xml:space="preserve">حواله ساتنا به حساب  IR 74 0180 0000 0000 5724 0321 00 نزد بانک تجارت شعبه ارم شیراز به نام شرکت فاتح صنعت کیمیا بابت پرداخت هزینه کارمزد تمدید ضمانتنامه پیش پرداخت ارزی 98182080424 از ق ADSH-P-PO-GE-006 طبق تائیدیه هیئت مدیره 
</t>
  </si>
  <si>
    <t xml:space="preserve">حواله ساتنا به حسابIR24 0180 0000 0000 0023 1276 60  نزد بانک تجارت به نام شرکت مهندسین مشاور پی کاو بابت پرداخت صورت وضعیت شماره دو مطالعات ژئوتکنیک طبق قرارداد ش ADSH-E-CO_CV-005 </t>
  </si>
  <si>
    <t xml:space="preserve">واریز ساتنا به حساب   IR94 0180 0000 0000 0212 1140 22 نزد بانک تجارت شعبه کوی دانشگاه کد 2120 به نام شرکت طرح نو اندیشان بابت آزادسازی سپرده بیمه و حسن انجام و تسویه کامل قرارداد شماره ADISH-E-CO-CV-002 </t>
  </si>
  <si>
    <t>واریز ساتنا به حساب   IR74 0120 0000 0000 4428 1696 26 نزد بانک ملت شعبه لامرد به نام شرکت حمل و نقل کهورک بار بابت تسویه ف 048-98 خرید و حمل سیمان فله</t>
  </si>
  <si>
    <t>حواله ساتنا به حساب IR74 0120 0100 0000 5702 9181 50  نزد بانک ملت به آقای یوسف امیری ابراهیم محمدی بابت خرید پنل بتنی+بلوک+الکترود به نام تلاشگران صفه به شماره 553 مورخ 98/05/26</t>
  </si>
  <si>
    <t xml:space="preserve">حواله ساتنا به حساب IR 82 0130 1000 0000 0043 3971 41 نزد بانک رفاه کد 180 به نام شرکت ترسیم گران اندیشه پویا بابت تسویه فاکتورهای شماره 2012.2189.2188.2190 </t>
  </si>
  <si>
    <t>1398/06/10</t>
  </si>
  <si>
    <t>حواله ساتنا به حساب IR77 0540 1054 8110 0003 135005  نزد بانک پارسیان به نام شرکت مهندسین مشاور نگراندیش بابت ارائه گزارش پیشرفت منتهی به 1398/03/31</t>
  </si>
  <si>
    <t>1398/06/11</t>
  </si>
  <si>
    <t>1398/06/12</t>
  </si>
  <si>
    <t>1398/06/13</t>
  </si>
  <si>
    <t>حواله ساتنا به حساب IR59 0120 0000 0000 8527 0276 01  بنام شرکت افلاک صنعت ماهان بابت علی الحساب قرارداد ADSH-C-CO-CV-001 (پرداخت به پیمانکار شرکت سپهر مولد)</t>
  </si>
  <si>
    <t>1398/06/16</t>
  </si>
  <si>
    <t>1398/06/17</t>
  </si>
  <si>
    <t>حواله ساتنا به حساب IR19 0120 0000 0000 0140 4634 17  نزد بانک ملت بنام شرکت پولاد پیچ کار بابت پارت اول اقلام سفارش پ ف 1-1062pk (پرداخت به پیمانکار شرکت سپهر مولد)</t>
  </si>
  <si>
    <t xml:space="preserve">
واریز به حساب  1 - 2688597 - 800 - 215 به نام آقای محسن خستو به شماره ملی 4839597987  بابت پرداخت به شرکت شاتل پ ف 45253957 شارژ اینترنت 
</t>
  </si>
  <si>
    <t xml:space="preserve">حواله ساتنا به حساب IR90 0560 0816 8100 1066 5860 01   نزد بانک سامان شعبه اریکه ایرانیان کد 816  به نام شرکت آینده نگاران بابت تسویه ف 6132 </t>
  </si>
  <si>
    <t>1398/06/23</t>
  </si>
  <si>
    <t xml:space="preserve">
واریز به حساب  1 - 2688597 - 800 - 215 به نام آقای محسن خستو به شماره ملی 4839597987  بابت پرداخت قبض شماره 851780517 مورخ 98/06/23 به شناسه قبض 851780587385 و شناسه پرداخت 20537180035 بابت تسویه مالیات حقوق سال 1396
</t>
  </si>
  <si>
    <t>1398/06/24</t>
  </si>
  <si>
    <t xml:space="preserve">واریز به حساب IR 6401 8000 0000 0002 3511 7142 به نام رستم فرودیان به کد ملی 0036649368 بابت فاکتور 4242 خدمات ماشین های اداری رامتین </t>
  </si>
  <si>
    <t>واریز به حساب IR03 0170 0000 0022 2679 2060 03 به نام شرکت مهندسی و ساخت صنعت پژوهان ماهان بابت پیش پرداخت خرید بتن(پرداخت به پیمانکار سپهرمولد)</t>
  </si>
  <si>
    <t>واریز به حساب IR31 0120 0000 0000 8084 4627 92  نزد بانک ملت به نام جواد حسن پور بابت ف 98/147/129 خرید بتن(پرداخت به پیمانکار سپهرمولد)</t>
  </si>
  <si>
    <t>حواله ساتنا به حساب IR95 0190 0000 0010 0449 8310 09  نزد بانک صادرات  به نام آقای محمد شریفی بابت پرداخت جهت شارژ تنخواه جهت سایت</t>
  </si>
  <si>
    <t>1398/06/25</t>
  </si>
  <si>
    <t>واریز به حساب IR37 0570 0310 8001 0401 1600 01 نزد بانک پاسارگاد به نام آقای مسعود صدرا بابت خدمات مهندسی hazop/sil</t>
  </si>
  <si>
    <t>1398/06/26</t>
  </si>
  <si>
    <t>حواله ساتنا به حساب IR02 0100 0040 0106 3604 0286 53  نزد بانک مرکزی با شناسه پرداخت 324063673282200010700215560077 به نام آزمایشگاه فنی و مکانیک خاک استان بوشهر(پرداخت به پیمانکار سپهر مولد)</t>
  </si>
  <si>
    <t>حواله ساتنا به حساب IR32 0150 0000 0089 6302 9162 04  نزد بانک سپه به نام بهرام سوارکوب به شماره ملی 1755071205 بابت تسویه صورتحساب مورخ 1398/06/26 تجهیزات بچینگ(پرداخت به پیمانکار سپهر مولد)</t>
  </si>
  <si>
    <t xml:space="preserve">
واریز به حساب  1 - 6065202 - 701 - 127 به نام آقای امیدرضا تشخیصی بابت مساعده 
</t>
  </si>
  <si>
    <t>حواله ساتنا به حساب IR73 0170 0000 0011 1371 6220 02  نزد بانک ملی به نام شرکت کاریز هیدرو سازه گیل بابت تسویه صورتحساب 884(پرداخت به پیمانکار سپهر مولد)</t>
  </si>
  <si>
    <t>1398/06/27</t>
  </si>
  <si>
    <t>حواله ساتنا به حساب IR21 0120 0200 0000 4421 5120 85 نزد بانک ملت به نام شرکت خدمات مسافرت هوایی پرتو پرواز فردا بابت صورتحساب 21.22.23.24</t>
  </si>
  <si>
    <t>حواله ساتنا به حساب IR73 0150 0000 0223 2800 0771 04 نزد بانک سپه به نام شرکت دوزال بابت مرحله1 پیش پراداخت ق sm-c-co-cv-005 (پرداخت به پیمانکار سپهر مولد)</t>
  </si>
  <si>
    <t>1398/06/30</t>
  </si>
  <si>
    <t xml:space="preserve">
واریز به حساب  1 - 2688597 - 800 - 215 به نام آقای محسن خستو به شماره ملی 4839597987  بابت پرداخت قرض الحسنه به ایشان
</t>
  </si>
  <si>
    <t>1398/06/31</t>
  </si>
  <si>
    <t xml:space="preserve">واریز به شماره حساب IR76 0120 0200 0000 5578 5986 81  به نام آقای فرید کرمی بابت علی الحساب ف 7270 مورخ 1398/06/30 </t>
  </si>
  <si>
    <t>واریز به حساب IR03 0170 0000 0022 2679 2060 03 به نام شرکت مهندسی و ساخت صنعت پژوهان ماهان بابت تسویه نهایی خرید بتن طی ف SPM-SM-1001 (پرداخت به پیمانکار سپهرمولد)</t>
  </si>
  <si>
    <t>چ دروجه سپهرمولد به بابت قرض الحسنه(پرداخت بهعلی الحساب ق 7270 خرید کانکس)</t>
  </si>
  <si>
    <t>واریز به حساب IR31 0120 0000 0000 8084 4627 92  نزد بانک ملت به نام جواد حسن پور بابت ف 98/147/130 خرید بتن(پرداخت به پیمانکار سپهرمولد)</t>
  </si>
  <si>
    <t>1398/07/01</t>
  </si>
  <si>
    <t xml:space="preserve">واریز به حساب IR33 0120 0200 0000 3176 8440 50 به شماره شناسه 51037/03 نزد بانک ملت به نام شرکت بیمه آسیا بابت بیمه نامه مسئولیت مدنی </t>
  </si>
  <si>
    <t>1398/07/02</t>
  </si>
  <si>
    <t>حواله ساتنا به حساب IR21 0120 0200 0000 4421 5120 85 نزد بانک ملت به نام شرکت خدمات مسافرت هوایی پرتو پرواز فردا بابت صورتحساب 25.26</t>
  </si>
  <si>
    <t xml:space="preserve">حواله ساتنا به حساب IR 82 0130 1000 0000 0043 3971 41 نزد بانک رفاه کد 180 به نام شرکت ترسیم گران اندیشه پویا بابت تسویه فاکتورهای شماره 2338.2427.2428 </t>
  </si>
  <si>
    <t>واریز به شماره حساب IR5101 1000 0000 2000 7943 2000 شرکت پالایش میعانات گازی آدیش جنوبی نزد بانک صنعت و معدن شعبه توسعه ملی بابت تامین موجودی</t>
  </si>
  <si>
    <t>1398/07/03</t>
  </si>
  <si>
    <t>واریز به شماره حساب IR82  0120  0000  0000  8375  6509  27 نزد بانک ملت به نام شرکت پالایش میعانات گازی آدیش جنوبی بابت تامین موجودی</t>
  </si>
  <si>
    <t>1398/07/07</t>
  </si>
  <si>
    <t>پرداخت حقوق و دستمزد  شهریورماه 1398 کارکنان شرکت پالایش میعانات گازی آدیش جنوبی طبق لیست پیوست</t>
  </si>
  <si>
    <t>پرداخت هزینه های مهندسی شهریور ماه 1398 شرکت پالایش میعانات گازی آدیش جنوبی طبق لیست پیوست</t>
  </si>
  <si>
    <t>چ ابطال شد</t>
  </si>
  <si>
    <t>1398/07/08</t>
  </si>
  <si>
    <t xml:space="preserve">واریز به شماره حساب IR51 0110 0000 0020 0079 4320 00 نزد بانک صنعت و معدن شعبه توسعه ملی بنام شرکت پالایش میعانات گازی آدیش جنوبی بابت تامین موجودی جهت تسویه الباقی کارمزد تمدید اعتبار اسنادی </t>
  </si>
  <si>
    <t>واریز به شماره حساب IR32 0100 0040 0104 5603 0143 96 نزد بانک مرکزی تحت عنوان تمرکز وجوه درآمد اختصاصی پژوهشگاه صنعت نفت با شناسه پرداخت 105759 بابت علی الحساب آزمایش و نمونه گیری</t>
  </si>
  <si>
    <t>1398/07/10</t>
  </si>
  <si>
    <t>واریز به حساب IR19 0120 0000 0000 0140 4634 17 به نام شرکت پولاد پیچ کار بابت تسویه پارت 2 اقلام سفارش پ ف PK1062-1.1 (پرداخت به پیمانکار سپهرمولد)</t>
  </si>
  <si>
    <t>واریز به شماره حساب IR76 0120 0200 0000 5578 5986 81  به نام آقای فرید کرمی بابت تسویه کامل ف 7280 مورخ 1398/06/30 (پرداخت به پیمانکار سپهر مولد)</t>
  </si>
  <si>
    <t>واریز به شماره حساب IR87 0150 0000 0182 5301 3420 07  به نام شرکت فنی پارس سازه اردکان بابت تسویه ص و ش 1 ق SM-C-CO-CV-001  (پرداخت به پیمانکار سپهر مولد)</t>
  </si>
  <si>
    <t>واریز به شماره حساب IR69 0120 0200 0000 5919 4928 91  به نام شرکت ذوب آهن آریان بوئین زهرا نزد بانک ملت شعبه جنت آباد جنوبی بابت پ ف 1418-1398 بابت خرید میلگرد</t>
  </si>
  <si>
    <t xml:space="preserve">حواله ساتنا به حساب IR51 0120 0000 0000 8329 9603 14 نزد بانک ملت شعبه استاد مطهری به نام شرکت راهکار برتر آراد پایا جهت پشتیبانی و نگهداری سیستم از تاریخ 98/06/03 الی 98/09/02 طبق قرارداد شماره 0122-APS-C  </t>
  </si>
  <si>
    <t>1398/07/14</t>
  </si>
  <si>
    <t>1398/07/15</t>
  </si>
  <si>
    <t>1398/07/16</t>
  </si>
  <si>
    <t>1398/07/17</t>
  </si>
  <si>
    <t>حواله ساتنا به حساب IR43 0630 4616 0400 8152 8560 01  نزد بانک انصار بنام احمد علی اکبری بابت خرید لوله گالوانیزه طی ف 1233</t>
  </si>
  <si>
    <t>حواله ساتنا به حساب IR95 0190 0000 0010 0449 8310 09  نزد بانک صادرات  به نام آقای محمد شریفی بابت پرداخت جهت شارژ تنخواه جهت سایت(پرداخت به سپهرمولد)</t>
  </si>
  <si>
    <t>حواله ساتنا به حساب IR48 0180 0000 0000 0083 4920 74  نزد بانک تجارت شعبه توانیر کد 832 به نام شرکت لوید آلمان کیش بابت تسویه ف 19-0739</t>
  </si>
  <si>
    <t>حواله ساتنا به حساب IR39 0190 0000 0011 2784 0160 09  نزد بانک صادرات بنام شرکت بیستون بتن پرک بابت تسویه ف 1 و 2 خرید بتن</t>
  </si>
  <si>
    <t>حواله ساتنا به حساب IR11 0200 0000 0010 0011 6220 06  نزد بانک توسعه صادرات کد 1305 بنام شرکت تولیدی و صنعتی فراسان بابت 50% پیش پرداخت پ ف 119/6739</t>
  </si>
  <si>
    <t>1398/07/20</t>
  </si>
  <si>
    <t xml:space="preserve">حواله ساتنا به حسابIR24 0180 0000 0000 0023 1276 60  نزد بانک تجارت به نام شرکت مهندسین مشاور پی کاو بابت پرداخت صورت وضعیت شماره 3 مطالعات ژئوتکنیک طبق قرارداد ش ADISH-E-CO_CV-005 </t>
  </si>
  <si>
    <t>1398/07/21</t>
  </si>
  <si>
    <t>حواله ساتنا به حساب IR59 0120 0000 0000 8527 0276 01  بنام شرکت افلاک صنعت ماهان بابت صورت وضعیت موقت ش 2 از 1398/04/01 تا 1398/06/31 از قرارداد ADSH-C-CO-CV-001 (پرداخت به سپهرمولد)</t>
  </si>
  <si>
    <t>1398/07/22</t>
  </si>
  <si>
    <t>حواله ساتنا به حساب IR91 0120 0100 0000 1175 4940 60  بنام حمیدرضا رضایی بابت علی الحساب فاکتور برق کشی(پرداخت به سپهرمولد)</t>
  </si>
  <si>
    <t>آقای سبزعلی اسدی با کد ملی 0035293217 بابت 50% از قرارداد sm-p-co-cv-001 خرید بچینگ(پرداخت به پیمانکار سپهرمولد)</t>
  </si>
  <si>
    <t>حواله ساتنا به حساب IR73 0150 0000 0223 2800 0771 04 نزد بانک سپه به نام شرکت دوزال بابت مرحله2 پیش پراداخت ق sm-c-co-cv-005 (پرداخت به پیمانکار سپهر مولد)</t>
  </si>
  <si>
    <t>1398/07/24</t>
  </si>
  <si>
    <t>واریز به حساب IR03 0170 0000 0022 2679 2060 03 به نام شرکت مهندسی و ساخت صنعت پژوهان ماهان بابت تسویه ف 1001 و 1002 و 1003 و 1004 خرید بتن</t>
  </si>
  <si>
    <t>واریز به شماره حساب IR82  0120  0000  0000  8375  6509  27 نزد بانک ملت به نام شرکت پالایش میعانات گازی آدیش جنوبی بابت تامین موجودی جهت پرداخت بیمه و مالیات و هزینه های جاری کنگان شهریور 1398</t>
  </si>
  <si>
    <t>حواله ساتنا به حساب IR21 0120 0200 0000 4421 5120 85 نزد بانک ملت به نام شرکت خدمات مسافرت هوایی پرتو پرواز فردا بابت صورتحساب 27.28.29.30</t>
  </si>
  <si>
    <t>1398/07/29</t>
  </si>
  <si>
    <t>1398/07/28</t>
  </si>
  <si>
    <t xml:space="preserve">
واریز به حساب  1-1841173-800-205 به نام خانم شریعت رضوی بابت پرداخت مساعده 
</t>
  </si>
  <si>
    <t>1398/08/30</t>
  </si>
  <si>
    <t>1398/09/30</t>
  </si>
  <si>
    <t>1398/10/30</t>
  </si>
  <si>
    <t>1398/11/30</t>
  </si>
  <si>
    <t>1399/01/31</t>
  </si>
  <si>
    <t>1399/02/31</t>
  </si>
  <si>
    <t>واریز  به حساب IR320100004001123804022516 نزد بانک مرکزی به نام سازمان منطقه ویژه اقتصادی انرژی پارس با شناسه پرداخت 339123873293960980100010316000 بابت قسط اول هزینه درآمد خدمات عمومی ارائه شده به شرکت پالایش میعانات گازی آدیش جنوبی طبق نامه وارده شماره 7003 مورخ 1398/02/02</t>
  </si>
  <si>
    <t>واریز  به حساب IR320100004001123804022516 نزد بانک مرکزی به نام سازمان منطقه ویژه اقتصادی انرژی پارس با شناسه پرداخت 339123873293960980100010316000 بابت قسط سوم هزینه درآمد خدمات عمومی ارائه شده به شرکت پالایش میعانات گازی آدیش جنوبی طبق نامه وارده شماره 7003 مورخ 1398/02/02</t>
  </si>
  <si>
    <t>واریز  به حساب IR320100004001123804022516 نزد بانک مرکزی به نام سازمان منطقه ویژه اقتصادی انرژی پارس با شناسه پرداخت 339123873293960980100010316000 بابت قسط چهارم هزینه درآمد خدمات عمومی ارائه شده به شرکت پالایش میعانات گازی آدیش جنوبی طبق نامه وارده شماره 7003 مورخ 1398/02/02</t>
  </si>
  <si>
    <t>واریز  به حساب IR320100004001123804022516 نزد بانک مرکزی به نام سازمان منطقه ویژه اقتصادی انرژی پارس با شناسه پرداخت 339123873293960980100010316000 بابت قسط پنجم هزینه درآمد خدمات عمومی ارائه شده به شرکت پالایش میعانات گازی آدیش جنوبی طبق نامه وارده شماره 7003 مورخ 1398/02/02</t>
  </si>
  <si>
    <t>1398/12/28</t>
  </si>
  <si>
    <t>1398/07/30</t>
  </si>
  <si>
    <t>حواله ساتنا به حساب IR11 0180 0000 0000 1908 0625 46  نزد بانک تجارت  به نام آقای بهرام طالبی سیلاب بابت پرداخت جهت شارژ تنخواه جهت سایت(پرداخت به سپهرمولد)</t>
  </si>
  <si>
    <t>واریز به حساب IR03 0170 0000 0022 2679 2060 03 به نام شرکت مهندسی و ساخت صنعت پژوهان ماهان بابت تسویه ف 1005 و 1006 و 1007 و 1008 خرید بتن</t>
  </si>
  <si>
    <t xml:space="preserve">حواله ساتنا به حساب IR63 0190 0000 0010 5225 4610 06 نزد بانک صادرات به نام آقای امیر حسین شاملو بابت پرداخت فاکتور شماره 548  مورخ 1398/07/05 گروه تولیدی صنعتی شاملو (مبلمان نوژن) </t>
  </si>
  <si>
    <t>1398/08/01</t>
  </si>
  <si>
    <t xml:space="preserve">
واریز به حساب  1-5021084-800-207 به نام آقای معصومه حسن زاده بابت تسویه حساب کامل سنوات،طلب مرخصی و عیدی تا مورخ 1398/06/31
</t>
  </si>
  <si>
    <t>حواله ساتنا به حساب IR75 0120 0000 0000 8104 8410 21 نزد بانک ملت به نام آقای محمدتوانگر بابت تسویه ف 0169 خرید اسپیلت جهت کارگاه</t>
  </si>
  <si>
    <t>حواله ساتنا به حساب IR74 0120 0100 0000 5702 9181 50  نزد بانک ملت به آقای یوسف امیری ابراهیم محمدی بابت علی الحساب به نام تلاشگران صفه به ص و ش 1 و 2  (پرداخت به پیمانکار سپهر مولد)</t>
  </si>
  <si>
    <t xml:space="preserve">واریز به شماره حساب IR7401 8000 0000 0000 4507 2525 نزد بانک تجارت شعبه مرکزی کد 40 به نام شرکت فرآب بابت 10% دوم سپرده نقدی ضمانت نامه پیش پرداخت </t>
  </si>
  <si>
    <t>1398/08/04</t>
  </si>
  <si>
    <t>واریز به حساب IR03 0170 0000 0022 2679 2060 03 به نام شرکت مهندسی و ساخت صنعت پژوهان ماهان بابت تسویه ف 1010 خرید بتن</t>
  </si>
  <si>
    <t>1398/09/09</t>
  </si>
  <si>
    <t>1398/08/06</t>
  </si>
  <si>
    <t>واریز به حساب IR03 0170 0000 0022 2679 2060 03 به نام شرکت مهندسی و ساخت صنعت پژوهان ماهان بابت تسویه ف 1009و1011و1012و1013 خرید بتن</t>
  </si>
  <si>
    <t>حواله ساتنا به حساب IR39 0190 0000 0011 2784 0160 09  نزد بانک صادرات بنام شرکت بیستون بتن پرک بابت تسویه ف 5و6و7 خرید بتن</t>
  </si>
  <si>
    <t>واریز به شماره حساب IR76 0120 0200 0000 5578 5986 81  به نام آقای فرید کرمی بابت تسویه کامل ف 7309 مورخ 1398/07/23 خرید کانکس(پرداخت به پیمانکار سپهر مولد)</t>
  </si>
  <si>
    <t>1398/08/08</t>
  </si>
  <si>
    <t>حواله ساتنا به حساب IR91 0120 0100 0000 1175 4940 60  بنام حمیدرضا رضایی بابت تسویه کامل ف 1301 و 1302 و 1303 فاکتور تجهیزات برق(پرداخت به سپهرمولد)</t>
  </si>
  <si>
    <t>1398/08/11</t>
  </si>
  <si>
    <t>حواله ساتنا به حساب IR48 0180 0000 0000 0083 4920 74  نزد بانک تجارت شعبه توانیر کد 832 به نام شرکت لوید آلمان کیش بابت تسویه ف 19-0777</t>
  </si>
  <si>
    <t xml:space="preserve">حواله ساتنا به حساب IR 82 0130 1000 0000 0043 3971 41 نزد بانک رفاه کد 180 به نام شرکت ترسیم گران اندیشه پویا بابت فاکتور شماره 2679 </t>
  </si>
  <si>
    <t>حواله ساتنا به حساب IR19 0120 0200 0000 8409 4346 12  نزد بانک ملت  به نام آقای خلیل ذریه عباسی بابت تسویه کامل با ایشان تا 1398/06/31</t>
  </si>
  <si>
    <t>حواله ساتنا به حساب IR38 0550 0184 8000 6098 6830 01  نزد بانک اقتصاد  به نام آقای مهدی تنگستانی پور بابت تسویه کامل با ایشان تا 1398/04/31</t>
  </si>
  <si>
    <t>پرداخت حقوق و دستمزد  مهرماه 1398 کارکنان شرکت پالایش میعانات گازی آدیش جنوبی طبق لیست پیوست</t>
  </si>
  <si>
    <t>پرداخت هزینه های مهندسی مهر ماه 1398 شرکت پالایش میعانات گازی آدیش جنوبی طبق لیست پیوست</t>
  </si>
  <si>
    <t>حواله ساتنا به حساب IR11 0120 0100 0000 8461 4005 31 نزد بانک ملت به نام آقای علی حسین آبادی با کدملی 0011048433 بابت پرداخت 70% فاکتور 583 خرید تابلو برق</t>
  </si>
  <si>
    <t>حواله ساتنا به حساب IR74 0120 0100 0000 5702 9181 50  نزد بانک ملت به آقای یوسف امیری ابراهیم محمدی بابت تسویه به نام تلاشگران صفه به ص و ش1 و 2  (پرداخت به پیمانکار سپهر مولد)</t>
  </si>
  <si>
    <t>1398/08/12</t>
  </si>
  <si>
    <t>حواله ساتنا به حساب IR63 0120 0100 0000 8731 0467 91  نزد بانک ملت  به نام آقای مصطفی بدیعی بابت تسویه کامل با ایشان تا 1398/06/31</t>
  </si>
  <si>
    <t>حواله ساتنا به حساب IR27 0530 0000 0010 0950 7476 09 نزد بانک کارآفرین بنام شرکت حصار نوین الماس بابت تسویه کامل خرید حصار مفتولی و سیم خاردار</t>
  </si>
  <si>
    <t>1398/08/13</t>
  </si>
  <si>
    <t>حواله ساتنا به حساب IR18 0120 0000 0000 7225 7502 53 نزد بانک ملت بنام شرکت بهبد صنعت پارس بابت پیش پرداخت ق ADSH-E-CO-GE-007</t>
  </si>
  <si>
    <t>حواله ساتنا به حساب IR39 0190 0000 0011 2784 0160 09  نزد بانک صادرات بنام شرکت بیستون بتن پرک بابت تسویه ف 10 خرید بتن</t>
  </si>
  <si>
    <t>واریز به حساب IR03 0170 0000 0022 2679 2060 03 به نام شرکت مهندسی و ساخت صنعت پژوهان ماهان بابت تسویه ف 1015 و 1014 خرید بتن</t>
  </si>
  <si>
    <t>1398/08/14</t>
  </si>
  <si>
    <t>حواله ساتنا به حساب IR21 0120 0200 0000 4421 5120 85 نزد بانک ملت به نام شرکت خدمات مسافرت هوایی پرتو پرواز فردا بابت صورتحساب 31.32.33</t>
  </si>
  <si>
    <t xml:space="preserve">حواله ساتنا به حساب  IR73 0170 0000 0011 2092 4320 09 نزد بانک ملی به نام شرکت یاران مسیر سبز ترخیص پارسیان بابت پرداخت علی الحساب تنخواه ترخیص ورقهای ایرکولر
</t>
  </si>
  <si>
    <t>1398/08/18</t>
  </si>
  <si>
    <t xml:space="preserve">حواله ساتنا به حسابIR24 0180 0000 0000 0023 1276 60  نزد بانک تجارت به نام شرکت مهندسین مشاور پی کاو بابت پرداخت صورت وضعیت شماره 4 مطالعات ژئوتکنیک طبق قرارداد ش ADISH-E-CO_CV-005 </t>
  </si>
  <si>
    <t>واریز به حساب 1-6381404-850-215 نزد بانک اقتصادنوین بنام شرکت سپهرمولد بابت علی الحساب</t>
  </si>
  <si>
    <t>حواله ساتنا به حساب IR60  0120  0200  0000  1714  4834  95 نزد بانک ملت به نام آقای عباس رحیمی بابت فاکتور شماره  1398/08/12 ارتباط نوین P.B.X جهت خرید گوشی تلفن</t>
  </si>
  <si>
    <t>حواله ساتنا به حساب IR90 0560 0816 8100 1066 5860 01   نزد بانک سامان شعبه اریکه ایرانیان کد 816  به نام شرکت آینده نگاران جهت خرید آنتی ویروس طی پیش فاکتور شماره 112507 مورخ 1398/08/14</t>
  </si>
  <si>
    <t>1398/08/20</t>
  </si>
  <si>
    <t>حواله ساتنا به حساب IR31 0120 0000 0000 8686 8004 91 نزد بانک ملت به نام شرکت رایانه افزار خط سبز بابت تسویه ف 49 خریر رم و هارد و پردازنده کامپیوتر</t>
  </si>
  <si>
    <t>حواله ساتنا به حساب IR33 0550 0120 8500 0436 3640 01 نزد بانک اقتصادنوین به نام شرکت پارس اتیلن کیش بابت 30% پ پ پیش فاکتور ش 3715 خرید لوله و اتصلات پلی اتیلن</t>
  </si>
  <si>
    <t>حواله ساتنا به حساب IR33 0550 0120 8500 0436 3640 01 نزد بانک اقتصادنوین به نام شرکت پارس اتیلن کیش بابت 30% پ پ پیش فاکتور ش 3822 خرید لوله و اتصلات پلی اتیلن</t>
  </si>
  <si>
    <t>حواله ساتنا به حساب IR41 0130 1000 0000 0213 0950 14 نزد بانک رفاه به نام شرکت تعاونی آریاپروفیل 4916 منطقه آزاد چابهار بابت تسویه ف 298 خرید پلیت گالوانیزه</t>
  </si>
  <si>
    <t>1398/08/21</t>
  </si>
  <si>
    <t>واریز به حساب IR03 0170 0000 0022 2679 2060 03 به نام شرکت مهندسی و ساخت صنعت پژوهان ماهان بابت تسویه ف 1016 و 1017 و 1018 خرید بتن</t>
  </si>
  <si>
    <t>1398/08/25</t>
  </si>
  <si>
    <t>حواله ساتنا به حساب IR63 0190 0000 0010 5225 4610 06 نزد بانک صادرات به نام آقای امیر حسین شاملو بابت فاکتور شماره 0559 و ... شرکت نوین پردازان صنعت نوژن</t>
  </si>
  <si>
    <t>حواله ساتنا به حساب IR57 0180 0000 0000 0051 1415 39 نزد بانک تجارت بنام شرکت مهندسی سازه فرافن بابت 20% پ پ ق ADSH-E-CO-GE-004 طراحی مفهومی و پایه اتصال پروژه پالایشگاه</t>
  </si>
  <si>
    <t>واریز به حساب IR03 0170 0000 0022 2679 2060 03 به نام شرکت مهندسی و ساخت صنعت پژوهان ماهان بابت تسویه ف 1020 و 1021 و 1022خرید بتن</t>
  </si>
  <si>
    <t>حواله ساتنا به حساب IR39 0190 0000 0011 2784 0160 09  نزد بانک صادرات بنام شرکت بیستون بتن پرک بابت تسویه ف 29 خرید بتن</t>
  </si>
  <si>
    <t>واریز به شماره حساب IR82  0120  0000  0000  8375  6509  27 نزد بانک ملت به نام شرکت پالایش میعانات گازی آدیش جنوبی بابت تامین موجودی جهت پرداخت بیمه و مالیات و هزینه های جاری کنگان مهر 1398</t>
  </si>
  <si>
    <t>1398/08/26</t>
  </si>
  <si>
    <t>حواله ساتنا به حساب IR21 0120 0200 0000 4421 5120 85 نزد بانک ملت به نام شرکت خدمات مسافرت هوایی پرتو پرواز فردا بابت صورتحساب 34</t>
  </si>
  <si>
    <t>1398/12/29</t>
  </si>
  <si>
    <t>واریز  به حساب IR320100004001123804022516 نزد بانک مرکزی به نام سازمان منطقه ویژه اقتصادی انرژی پارس با شناسه پرداخت 339123873293960980100010316000 بابت تسویه کامل هزینه درآمد خدمات عمومی ارائه شده به شرکت پالایش میعانات گازی آدیش جنوبی طبق نامه وارده شماره 7003 مورخ 1398/02/02</t>
  </si>
  <si>
    <t>1398/08/27</t>
  </si>
  <si>
    <t>واریز به شماره حساب 1-3823474-800-140 نزد بانک اقتصادنوین  به نام آقای نادر مساحی اسکویی بابت 50% پ پ پ ف 8532 خرید پرده کرکره از موسسه رنگین</t>
  </si>
  <si>
    <t>شرکت پالایش میعانات گازی آدیش جنوبی</t>
  </si>
  <si>
    <t>1398/08/29</t>
  </si>
  <si>
    <t>واریز به حساب IR23 0180 0000 0000 0012 9212 41  نزد بانک تجارت به نام شرکت نیکان تک ایرانیان بابت 25% پیش پرداخت قرارداد ADSH-P-PO-GE-022 خرید ANCHOR BOLTS</t>
  </si>
  <si>
    <t>واریز به حساب IR93 0180 0000 0000 0062 9211 53  نزد بانک تجارت به نام شرکت صنعتی صافیاد بابت بخش اول پیش پرداخت ق ADSH-P-PO-GE-020 طراحی و مهندسی برج خنک کننده</t>
  </si>
  <si>
    <t>1398/09/03</t>
  </si>
  <si>
    <t>واریز به شماره حساب 1-3823474-800-140 نزد بانک اقتصادنوین  به نام آقای نادر مساحی اسکویی بابت تسویه کامل الباقی پ ف 8532 خرید پرده کرکره از موسسه رنگین</t>
  </si>
  <si>
    <t>واریز به حساب IR23 0180 0000 0000 0012 9212 41  نزد بانک تجارت به نام شرکت نیکان تک ایرانیان بابت 25% پیش پرداخت قرارداد ADSH-P-PO-GE-025 خرید ANCHOR BOLTS</t>
  </si>
  <si>
    <t>1398/09/04</t>
  </si>
  <si>
    <t>1398/09/05</t>
  </si>
  <si>
    <t>واریز به حساب IR03 0170 0000 0022 2679 2060 03 به نام شرکت مهندسی و ساخت صنعت پژوهان ماهان بابت تسویه ف 1019.1025.1026.1027 خرید بتن</t>
  </si>
  <si>
    <t>حواله ساتنا به حساب IR48 0180 0000 0000 0083 4920 74  نزد بانک تجارت شعبه توانیر کد 832 به نام شرکت لوید آلمان کیش بابت تسویه ف 0826-19</t>
  </si>
  <si>
    <t>حواله ساتنا به حساب IR74  0120  0000  0000  4428  1696  26 نزد بانک ملت شعبه لامرد به نام شرکت حمل و نقل کهورک بار لامرد بابت خرید سیمان به همراه حمل جهت سایت کنگان طی فاکتور شماره 98-069</t>
  </si>
  <si>
    <t xml:space="preserve">حواله ساتنا به حساب IR06 0120 0000 0000 4468 6504 05  نزد بانک ملت  به نام شرکت فن آوری پند کاسپین بابت پرداخت 40% مرحله2 طی بند 2 ماده 3 از  قرارداد خرید باسکول به شمارهADSH-P-CO-GE-010  </t>
  </si>
  <si>
    <t>حواله ساتنا به حساب IR39 0190 0000 0011 2784 0160 09  نزد بانک صادرات بنام شرکت بیستون بتن پرک بابت تسویه ف 37 خرید بتن</t>
  </si>
  <si>
    <t xml:space="preserve">
واریز به حساب تنخواه به شماره  1 - 140372 - 843 - 110 نزد بانک اقتصادنوین
</t>
  </si>
  <si>
    <t>واریز به حساب  1-5254660 -1 -177 نزد بانک اقتصادنوین به نام آقای محمدتقی حسین آبادی بابت فاکتور 2448 خرید ویبراتور از گروه صنعتی ایساتیس میکس-آریاناسازه</t>
  </si>
  <si>
    <t>پرداخت حقوق و دستمزد  آبان ماه 1398 کارکنان شرکت پالایش میعانات گازی آدیش جنوبی طبق لیست پیوست</t>
  </si>
  <si>
    <t>پرداخت هزینه های مهندسی آبان ماه 1398 شرکت پالایش میعانات گازی آدیش جنوبی طبق لیست پیوست</t>
  </si>
  <si>
    <t>1398/09/12</t>
  </si>
  <si>
    <t>حواله ساتنا به حساب IR21 0120 0200 0000 4421 5120 85 نزد بانک ملت به نام شرکت خدمات مسافرت هوایی پرتو پرواز فردا بابت صورتحساب 35 و 36</t>
  </si>
  <si>
    <t>حواله ساتنا به حساب IR74  0120  0000  0000  4428  1696  26 نزد بانک ملت شعبه لامرد به نام شرکت حمل و نقل کهورک بار لامرد بابت خرید سیمان به همراه حمل جهت سایت کنگان طی فاکتور شماره 98-072</t>
  </si>
  <si>
    <t>حواله ساتنا به حساب IR27 0120 0000 0000 4794 7826 51 نزد بانک ملت شعبه پیچ شمیران به نام شرکت مهندسی پاژ پرداز سامانه جهت پرداخت فاکتور 901 و 902 بابت خرید سوئیچ سیسکو و تجهیزات پسیو مورد نیاز راه اندازی شبکه سایت کنگان</t>
  </si>
  <si>
    <t xml:space="preserve">حواله ساتنا به حساب IR11 0120 0100 0000 8461 4005 31 نزد بانک ملت به نام آقای علی حسین آبادی با کدملی 0011048433 بابت تسویه کامل فاکتور 583 خرید تابلو برق+موتور30اسب بخار </t>
  </si>
  <si>
    <t>حواله ساتنا به حساب IR27 0120 0200 0000 5767 1739 65 نزد بانک ملت به نام شرکت عصر داده پردازی بی نهایت بابت تسویه ف 0201 خرید 2 دستگاه روتر برای اجرای شبکه سایت و دفترمرکزی</t>
  </si>
  <si>
    <t>1398/09/16</t>
  </si>
  <si>
    <t>واریز به شماره حساب IR51 0110 0000 0020 0079 4320 00 نزد بانک صنعت و معدن شعبه توسعه ملی بنام شرکت پالایش میعانات گازی آدیش جنوبی بابت تامین موجودی</t>
  </si>
  <si>
    <t>1398/09/17</t>
  </si>
  <si>
    <t>واریز به حساب IR03 0170 0000 0022 2679 2060 03 به نام شرکت مهندسی و ساخت صنعت پژوهان ماهان بابت تسویه ف 1023.1024.1028.1029.1030.1031.1032.1033.1034 خرید بتن</t>
  </si>
  <si>
    <t xml:space="preserve">حواله ساتنا به حساب IR51 0120 0000 0000 8329 9603 14 نزد بانک ملت شعبه استاد مطهری به نام شرکت راهکار برتر آراد پایا جهت ف 0254 پشتیبانی و نگهداری سیستم از تاریخ 98/09/03 الی 98/12/02 طبق قرارداد شماره 0122-APS-C  </t>
  </si>
  <si>
    <t>واریز به حساب IR05 0170 0000 0020 6260 6260 00 نزد بانک ملی شعبه پالایشگاه تهران بنام شرکت پالایش نفت تهران بابت تسویه پیش فاکتور 76865-98 در خصوص آزمایشات مورد نیاز بر روی نمونه های ارسالی</t>
  </si>
  <si>
    <t>1398/09/18</t>
  </si>
  <si>
    <t>حواله ساتنا به حساب IR74  0120  0000  0000  4428  1696  26 نزد بانک ملت شعبه لامرد به نام شرکت حمل و نقل کهورک بار لامرد بابت خرید سیمان به همراه حمل جهت سایت کنگان طی فاکتور شماره 98-074</t>
  </si>
  <si>
    <t>حواله ساتنا به حساب IR95 0170 0000 0010 6641 5330 06 نزد بانک ملی به نام شرکت بین المللی ساروج بوشهر بابت تسویه پ ف 98/3/12659 خرید سیمان فله تیپ2</t>
  </si>
  <si>
    <t>حواله ساتنا به حساب IR60  0120  0200  0000  1714  4834  95 نزد بانک ملت به نام آقای عباس رحیمی بابت فاکتور ارتباط نوین P.B.X جهت خرید گوشی تلفن</t>
  </si>
  <si>
    <t>حواله ساتنا به حساب شماره  IR10 0690 0108 8400 0995 3520 01 نزد بانک ایران زمین به نام موسسه حسابرسی و خدمات مالی کوشا منش بابت  تسویه ف 1806 قرارداد شماره 98/938/2 جهت رسیدگی افزایش سرمایه</t>
  </si>
  <si>
    <t>حواله ساتنا به حساب IR11 0200 0000 0010 0011 6220 06 نزد بانک توسعه صادرات ایران بنام شرکت تولیدی و صنعتی فراسان بابت تسویه پ ف 981389 خرید لوله جی آرپی</t>
  </si>
  <si>
    <t>1398/09/23</t>
  </si>
  <si>
    <t>1398/09/24</t>
  </si>
  <si>
    <t>1398/09/25</t>
  </si>
  <si>
    <t>حواله ساتنا به حساب IR21 0120 0200 0000 4421 5120 85 نزد بانک ملت به نام شرکت خدمات مسافرت هوایی پرتو پرواز فردا بابت صورتحساب 37 و 38</t>
  </si>
  <si>
    <t>حواله ساتنا به حساب IR96 0120 0000 0000 5247 9395 10 نزد بانک ملت به نام اکبر علی اکبری بابت تسویه ف 1203 صنایع پویاگستر جهت خرید میلگرد نمره12آجدار</t>
  </si>
  <si>
    <t>حواله ساتنا به حساب IR43 150 0000 0023 5301 2660 06 نزد بانک سپه به نام شرکت رایان اندیشه مایا بابت تسویه ف 38 خرید مینی کامپیوتر جهت سایت</t>
  </si>
  <si>
    <t>1398/09/26</t>
  </si>
  <si>
    <t>1398/09/27</t>
  </si>
  <si>
    <t>حواله ساتنا به حساب IR52 0170 0000 0011 2102 9370 02 نزد بانک ملی به نام ریخته گری برناگداز بابت 20% پیش پرداخت ق ADSH-P-CO-EL-001 جهت سیستم حفاظت کاتدیک</t>
  </si>
  <si>
    <t>حواله ساتنا به حساب IR90 0170 0000 0010 5673 7120 07 نزد بانک ملی به نام شرکت آجیل و خشکبار تواضع اصل بابت تسویه پ ف 1123 خرید آجیل شب یلدا پرسنل شرکت طی لیست</t>
  </si>
  <si>
    <t>1398/10/01</t>
  </si>
  <si>
    <t>حواله ساتنا به حساب IR21 0120 0200 0000 4421 5120 85 نزد بانک ملت به نام شرکت خدمات مسافرت هوایی پرتو پرواز فردا بابت صورتحساب 39</t>
  </si>
  <si>
    <t xml:space="preserve">
واریز به حساب  1 - 6338940 - 800 - 123 به نام خانم زهرا کلانتری  بابت تسویه کامل حقوق آبان ماه 1398 و بازخرید سنوات و مرخصی و عیدی تا 1398/08/30
</t>
  </si>
  <si>
    <t>1398/10/02</t>
  </si>
  <si>
    <t xml:space="preserve">حواله ساتنا به حساب IR50 0590 0423 0040 3130 0320 01 نزد بانک سینا بنام شرکت پتونیا بابت 50% پیش پرداخت خرید تجهیزات بالک سیستم کاتدیک طبق پیش فاکتور 21454 </t>
  </si>
  <si>
    <t xml:space="preserve">واریز به حساب  شرکت سنگ آهن مرکزی رباط (سهامی خاص) بابت عودت مطالبات
</t>
  </si>
  <si>
    <t>1398/10/03</t>
  </si>
  <si>
    <t>حواله ساتنا به حساب IR39 0190 0000 0011 2784 0160 09  نزد بانک صادرات بنام شرکت بیستون بتن پرک بابت تسویه ف 50 خرید بتن عیار400</t>
  </si>
  <si>
    <t>حواله ساتنا به حساب IR29 0180 0000 0000 3341 5067 85  نزد بانک تجارت بنام آقای اسماعیل فیضی پورتازه کند با کد ملی 0076639460 بابت تسویه ف 4854 خرید لوله اسکرو8اینچ</t>
  </si>
  <si>
    <t>1398/10/07</t>
  </si>
  <si>
    <t>پرداخت حقوق و دستمزد  آذر ماه 1398 کارکنان شرکت پالایش میعانات گازی آدیش جنوبی طبق لیست پیوست</t>
  </si>
  <si>
    <t>پرداخت هزینه های مهندسی آذر ماه 1398 شرکت پالایش میعانات گازی آدیش جنوبی طبق لیست پیوست</t>
  </si>
  <si>
    <t>حواله ساتنا به حساب IR43 150 0000 0023 5301 2660 06 نزد بانک سپه به نام شرکت رایان اندیشه مایا بابت تسویه ف 39 خرید سرور و موس و کیبورد و مانیتور جهت مینی کامپیوترهای سایت</t>
  </si>
  <si>
    <t>1398/10/09</t>
  </si>
  <si>
    <t xml:space="preserve">حواله ساتنا به حساب IR14 0120 0000 0000 1242 8793 71 نزد بانک ملت به نام شرکت کابل کرمان بابت 70% پیش پرداخت پ ف 2431-50-98 جهت خرید کابل </t>
  </si>
  <si>
    <t>حواله ساتنا به حساب IR82 0120 0000 0000 8744 2172 68 نزد بانک ملت بنام شرکت سپهرمولد بابت علی الحساب</t>
  </si>
  <si>
    <t>حواله ساتنا به حساب IR23 0180 0000 0000 0012 9212 41 نرد بانک تجارت بنام نیکان تک ایرانیان بابت تسویه صورتحساب 5498 از ق ADSH-P-PO-GE-025 خرید ANCHOR BOLT پس از کسر 25% پیش پرداخت</t>
  </si>
  <si>
    <t>1398/10/11</t>
  </si>
  <si>
    <t>حواله ساتنا به حساب IR21 0120 0200 0000 4421 5120 85 نزد بانک ملت به نام شرکت خدمات مسافرت هوایی پرتو پرواز فردا بابت صورتحساب 40</t>
  </si>
  <si>
    <t xml:space="preserve">
واریز به حساب  1 - 2688597 - 800 - 215 به نام آقای محسن خستو به شماره ملی 4839597987  بابت شارژ تنخواه تهران جهت مراسم سالگرد تاسیس شرکت
</t>
  </si>
  <si>
    <t>1398/10/15</t>
  </si>
  <si>
    <t>حواله ساتنا به حساب IR95 0170 0000 0010 6641 5330 06 نزد بانک ملی به نام شرکت بین المللی ساروج بوشهر بابت تسویه پ ف 98/3/13855 خرید سیمان فله تیپ2</t>
  </si>
  <si>
    <t>حواله ساتنا به حساب IR73 0170 0000 0011 1371 6220 02  نزد بانک ملی به نام شرکت کاریز هیدرو سازه گیل بابت تسویه صورتحساب 1138 خرید ابرروان کننده و کاهنده شدید آب بتن</t>
  </si>
  <si>
    <t>حواله ساتنا به حساب IR06 0120 0000 0000 4468 6504 05  نزد بانک ملت  به نام شرکت فن آوری پند کاسپین بابت تسویه ف 980345 خرید جانکشن باکس و بردشیرکنترل شده به همراه متعلقات مربوط به  تعمیر باسکول خریداری شده از پند کاسپین</t>
  </si>
  <si>
    <t>حواله ساتنا به حساب IR74  0120  0000  0000  4428  1696  26 نزد بانک ملت شعبه لامرد به نام شرکت حمل و نقل کهورک بار لامرد بابت خرید سیمان به همراه حمل جهت سایت کنگان طی پیش فاکتور شماره 091-98</t>
  </si>
  <si>
    <t>حواله ساتنا به حساب IR21 0120 0200 0000 4421 5120 85 نزد بانک ملت به نام شرکت خدمات مسافرت هوایی پرتو پرواز فردا بابت صورتحساب 41</t>
  </si>
  <si>
    <t>1398/10/17</t>
  </si>
  <si>
    <t>واریز به حساب 1-5943090-800-215 نزد بانک اقتصادنوین بنام خانم آرام فاطمی با کد ملی 0069256901 بابت تسویه کامل بازخرید سنوات ایشان از 1398/01/01 تا 1398/12/29</t>
  </si>
  <si>
    <t>واریز به حساب 1-5943090-800-215 نزد بانک اقتصادنوین بنام خانم آرام فاطمی با کد ملی 0069256901 بابت پرداخت وام قرض الحسنه به ایشان با اقساط 12 ماه</t>
  </si>
  <si>
    <t>1398/10/18</t>
  </si>
  <si>
    <t>حواله ساتنا به حساب IR46 0560 0810 8100 2767 8090 01  نزد بانک سامان بنام شرکت بازرسی فنی ایرانیان بابت پیش پرداخت بازرسی ورقهای CLAD</t>
  </si>
  <si>
    <t>1398/10/23</t>
  </si>
  <si>
    <t xml:space="preserve">
واریز به حساب  1 - 2688597 - 800 - 215 به نام آقای محسن خستو به شماره ملی 4839597987  بابت پرداخت هزینه ارسال لوله های فولادی دقیق سازان آراز  طی 6 فقره بارنامه 
</t>
  </si>
  <si>
    <t>1398/10/24</t>
  </si>
  <si>
    <t>حواله ساتنا به حساب شماره IR82 0120 0000 0000 8375 6509 27 نزد بانک ملت بنام شرکت پالایش میعانات گازی آدیش جنوبی بابت تامین موجودی جهت حق بیمه و مالیات و حقوق آذرماه 1398 سایت</t>
  </si>
  <si>
    <t>1398/10/25</t>
  </si>
  <si>
    <t xml:space="preserve">حواله ساتنا به حسابIR24 0180 0000 0000 0023 1276 60  نزد بانک تجارت به نام شرکت مهندسین مشاور پی کاو بابت پرداخت صورت وضعیت شماره 6 مطالعات ژئوتکنیک طبق قرارداد ش ADISH-E-CO_CV-005 </t>
  </si>
  <si>
    <t xml:space="preserve">
واریز به حساب  1-4811352-800-117 به نام آقای سید محمدرضا فخارزاده به شماره ملی 0079611184  بابت تسویه کامل و نهایی حقوق آذرماه 1398 و باخرید سنوات و عیدی و مرخصی تا 1398/09/15
</t>
  </si>
  <si>
    <t xml:space="preserve">
واریز به حساب 1-6082896-800-159 به نام آقای علی مستعلی به شماره ملی 0079844741  بابت تسویه کامل و نهایی حقوق آذرماه 1398 و باخرید سنوات و عیدی و مرخصی تا 1398/09/10
</t>
  </si>
  <si>
    <t xml:space="preserve">
واریز به حساب 1-43314051-800-126 به نام آقای محمد عزیزان به شماره ملی 0067373496  بابت تسویه کامل و نهایی  باخرید سنوات و عیدی و مرخصی تا 1398/08/30
</t>
  </si>
  <si>
    <t>1398/10/28</t>
  </si>
  <si>
    <t>حواله ساتنا به حساب IR21 0120 0200 0000 4421 5120 85 نزد بانک ملت به نام شرکت خدمات مسافرت هوایی پرتو پرواز فردا بابت صورتحساب 42</t>
  </si>
  <si>
    <t>1398/10/29</t>
  </si>
  <si>
    <t>حواله ساتنا به حساب IR11 0200 0000 0010 0011 6220 06  نزد بانک توسعه صادرات کد 1305 بنام شرکت تولیدی و صنعتی فراسان بابت 50% پیش پرداخت پ ف 119/10219</t>
  </si>
  <si>
    <t>حواله ساتنا به حساب IR35 0120 0000 0000 0003 3635 23  نزد بانک ملت بنام آقای عبداله بحرانی بابت تسویه ص و ش 3 تائید شده خرید شن و ماسه طبق ق ADSH-P-CO-CV-003</t>
  </si>
  <si>
    <t>حواله ساتنا به حساب IR48 0180 0000 0000 0083 4920 74  نزد بانک تجارت شعبه توانیر کد 832 به نام شرکت لوید آلمان کیش بابت تسویه ف 1050-19 از ق ADSH-E-CO-GE-006</t>
  </si>
  <si>
    <t>حواله ساتنا به حساب IR48 0180 0000 0000 0083 4920 74  نزد بانک تجارت شعبه توانیر کد 832 به نام شرکت لوید آلمان کیش بابت تسویه ف 1049-19 از ق ADSH-E-CO-GE-006</t>
  </si>
  <si>
    <t>1398/11/02</t>
  </si>
  <si>
    <t>حواله ساتنا به حساب IR52 0170 0000 0011 2102 9370 02 نزد بانک ملی به نام ریخته گری برناگداز بابت تسویه ف 377 خرید تجهیزات ق ADSH-P-CO-EL-001 جهت سیستم حفاظت کاتدیک</t>
  </si>
  <si>
    <t>حواله ساتنا به حسابIR14 0630 1827 0631 6717 7170 01 نزد بانک انصار بنام شرکت دقیق سازان آراز بابت تسویه کامل ف 888و880و887و879و878و877و886و871و870 خرید لوله و اتصالات فولادی UG پس از کسر علی الحساب مورخ 1398/10/29</t>
  </si>
  <si>
    <t>1398/11/05</t>
  </si>
  <si>
    <t>پرداخت حقوق و دستمزد دی ماه 1398 کارکنان شرکت پالایش میعانات گازی آدیش جنوبی طبق لیست پیوست</t>
  </si>
  <si>
    <t>پرداخت هزینه های مهندسی دی ماه 1398 شرکت پالایش میعانات گازی آدیش جنوبی طبق لیست پیوست</t>
  </si>
  <si>
    <t>1398/11/08</t>
  </si>
  <si>
    <t>1398/11/12</t>
  </si>
  <si>
    <t xml:space="preserve">
واریز به حساب  1 - 2688597 - 800 - 215 به نام آقای محسن خستو به شماره ملی 4839597987  بابت واریز و  تسویه صورتحساب ش 316 دفتر ترجمه رسمی شماره 1032
</t>
  </si>
  <si>
    <t xml:space="preserve">حواله ساتنا به حساب  IR73 0170 0000 0011 2092 4320 09 نزد بانک ملی به نام شرکت یاران مسیر سبز ترخیص پارسیان بابت تسویه کامل ف 70 پس از کسر اسناد تنخواه ترخیص ورقهای ایرکولر
</t>
  </si>
  <si>
    <t xml:space="preserve">حواله ساتنا به حساب  IR87 0180 0000 0000 0046 7864 75  نزد بانک تجارت بنام شرکت شاهو ترابر پارس بابت تسویه کامل ف 1064 حق توقف کانتیرهای ورقهای ایرکولر
</t>
  </si>
  <si>
    <t>1398/11/13</t>
  </si>
  <si>
    <t xml:space="preserve">حواله ساتنا به حساب IR14 0120 0000 0000 1242 8793 71 نزد بانک ملت به نام شرکت کابل کرمان بابت تسویه کامل پ ف 2431-50-98 جهت خرید کابلDCسیستم کاتدیک(فاکتور 8626) </t>
  </si>
  <si>
    <t>1398/11/14</t>
  </si>
  <si>
    <t>حواله ساتنا به حساب IR21 0120 0200 0000 4421 5120 85 نزد بانک ملت به نام شرکت خدمات مسافرت هوایی پرتو پرواز فردا بابت ص 46 مورخ 1398/11/06</t>
  </si>
  <si>
    <t>حواله ساتنا به حساب IR81 0180 0000 0000 0605 6234 68 نزد بانک تجارت بنام شرکت نیک محضر اسپادانا بابت تسویه ف 565-9800565 بابت خرید مصالح و پوشش سطوح خارجی</t>
  </si>
  <si>
    <t>1398/11/15</t>
  </si>
  <si>
    <t xml:space="preserve">
واریز به حساب  1-5893768-828-101 نزد بانک اقتصادنوین به نام مدیریت طرح های عمومی همکاران سیستم بابت خدمات یکساله پشتیبانی اتوماسیون تحت وب از 1399/01/01</t>
  </si>
  <si>
    <t>حواله ساتنا به حساب IR96 0120 0000 0000 5247 9395 10 نزد بانک ملت به نام اکبر علی اکبری بابت تسویه ف 1302 صنایع پویاگستر جهت خرید میلگرد نمره20آجدار</t>
  </si>
  <si>
    <t>واریز به حساب 1-203215-800-111 نزد بانک اقتصاد بنام خانم سمیرا زارعی با کد ملی 0068079801 بابت تسویه کامل بازخرید سنوات-مرخصی-عیدی تا 1398/08/30 با ایشان</t>
  </si>
  <si>
    <t>واریز به حساب 1-4167554-800-126 نزد بانک اقتصاد بنام آقای بهنام مهران گهر با کد ملی 0074772546 بابت تسویه کامل حقوق دیماه 1398-بازخرید سنوات-مرخصی-عیدی تا 1398/10/14 با ایشان</t>
  </si>
  <si>
    <t>واریز به حساب 1-3234593-800-161 نزد بانک اقتصاد بنام آقای حیدر صادقیان با کد ملی 0060710268 بابت تسویه کامل حقوق دیماه 1398-بازخرید سنوات-مرخصی-عیدی تا 1398/10/16 با ایشان</t>
  </si>
  <si>
    <t>واریز به حساب 1-6115860-800-101 نزد بانک اقتصاد بنام آقای حمیدرضا علمیان با کد ملی 0062627600 بابت تسویه کامل حقوق دیماه 1398-بازخرید سنوات-مرخصی-عیدی تا 1398/10/30 با ایشان</t>
  </si>
  <si>
    <t xml:space="preserve">حواله ساتنا به حسابIR14 0630 1827 0631 6717 7170 01 نزد بانک انصار بنام شرکت دقیق سازان آراز بابت تسویه ف 881.882.883.884.885.876.875.874.873.872 خرید لوله و اتصالات فولادی UG  </t>
  </si>
  <si>
    <t>1398/11/16</t>
  </si>
  <si>
    <t>حواله ساتنا به حساب IR90 0560 0816 8100 1066 5860 01   نزد بانک سامان شعبه اریکه ایرانیان کد 816  به نام شرکت آینده نگاران بابت تسویه ف 6370 خرید آنتی ویروس 1 ساله سایت</t>
  </si>
  <si>
    <t>1398/11/19</t>
  </si>
  <si>
    <t>حواله ساتنا به حساب IR79 0170 0000 0010 6023 1320 07 نزد بانک ملی بنام شرکت برناالکترونیک بابت 70% پیش پرداخت خرید طی پروفرما اینویس BE-EL-9809147  بابت تجهیزات سیستم ارتینگ و لایتینگ</t>
  </si>
  <si>
    <t>حواله ساتنا به حساب IR77 0540 1054 8110 0003 135005  نزد بانک پارسیان به نام شرکت طرح و ساخت نگراندیش بابت ارائه گزارش پیشرفت منتهی به 1398/08/30 طی ف 334</t>
  </si>
  <si>
    <t>1398/11/20</t>
  </si>
  <si>
    <t>حواله ساتنا به حساب IR77 0120 0000 0000 0306 6047 49 نزد بانک ملت بنام شرکت پوششهای محافظتی جنوب بابت تسویه ف 3640 خرید پلی پایپ</t>
  </si>
  <si>
    <t>حواله ساتنا به حساب IR39 0190 0000 0011 2784 0160 09  نزد بانک صادرات بنام شرکت بیستون بتن پرک بابت تسویه ف 66 خرید بتن عیار400</t>
  </si>
  <si>
    <t>1398/11/21</t>
  </si>
  <si>
    <t>حواله ساتنا به حساب IR39 0570 0379 8101 0879 6591 01 نزد بانک پاسارگاد به نام شرکت آریا تالین گام جهت درج آگهی در سایت طی پ ف 058770</t>
  </si>
  <si>
    <t xml:space="preserve">
واریز به حساب 1-3841672-800-155 به نام آقای آقای مجتبی زرافشانی به شماره ملی 0602383285  بابت مساعده حقوق بهمن ماه 1398 
</t>
  </si>
  <si>
    <t>1398/11/26</t>
  </si>
  <si>
    <t>حواله ساتنا به حساب IR21 0120 0200 0000 4421 5120 85 نزد بانک ملت به نام شرکت خدمات مسافرت هوایی پرتو پرواز فردا بابت صورتحساب 47 و 48 و 49</t>
  </si>
  <si>
    <t>حواله ساتنا به حساب IR65 0120 0000 0000 0771 0071 12 نزد بانک ملت به نام آقای رودپیش زاده بابت تسویه تنخواه ماموریت مورخ 1398/11/15 ایشان به استان بوشهر پ نیروگاه</t>
  </si>
  <si>
    <t>1398/11/27</t>
  </si>
  <si>
    <t>حواله ساتنا به حساب شماره IR82 0120 0000 0000 8375 6509 27 نزد بانک ملت بنام شرکت پالایش میعانات گازی آدیش جنوبی بابت تامین موجودی جهت حق بیمه و مالیات و دیماه 1398 سایت</t>
  </si>
  <si>
    <t>حواله ساتنا به حساب شماره IR21 0150 0000 0049 7301 6353 09 نزد بانک سپه به نام شرکت فولاد زرین قشم بابت تسویه پ ف 93 خرید میلگرد جهت سایت</t>
  </si>
  <si>
    <t>حواله ساتنا به حساب IR51 0150 0000 0022 8800 2276 01 نزد بانک سپه شعبه سعدی جنوبی بنام آقای بهنام عظیمی طهرانی مقدم با کد ملی 0451591860 جهت تسویه ف 721 و 720 شرکت توسعه برق توان انرژی بابت خرید ضخامت سنج و هیوکی...</t>
  </si>
  <si>
    <t>حواله ساتنا به حساب IR18 0120 0000 0000 5689 6805 63 نزد بانک ملت شعبه خیابان بزرگمهر به نام شرکت مهندسی ماه تابان رایانه جهت پرداخت فاکتور 17159 مورخ 98/11/15 خرید رم</t>
  </si>
  <si>
    <t>1398/11/28</t>
  </si>
  <si>
    <t>1398/12/03</t>
  </si>
  <si>
    <t>حواله ساتنا به حساب IR95 0170 0000 0010 6641 5330 06 نزد بانک ملی به نام شرکت بین المللی ساروج بوشهر بابت تسویه پ ف 98/3/16533 خرید1500 تن سیمان فله تیپ2</t>
  </si>
  <si>
    <t>حواله ساتنا به حساب IR48 0180 0000 0000 0083 4920 74  نزد بانک تجارت شعبه توانیر کد 832 به نام شرکت لوید آلمان کیش بابت تسویه ف 19-077 و 078 بازرسی</t>
  </si>
  <si>
    <t>1398/12/04</t>
  </si>
  <si>
    <t>1398/12/05</t>
  </si>
  <si>
    <t>حواله ساتنا به حساب IR21 0120 0200 0000 4421 5120 85 نزد بانک ملت به نام شرکت خدمات مسافرت هوایی پرتو پرواز فردا بابت صورتحساب 50.51</t>
  </si>
  <si>
    <t>1398/12/07</t>
  </si>
  <si>
    <t>حواله ساتنا به حساب IR38 0550 0215 8500 6381 4040 01 نزد بانک اقتصادنوین بنام شرکت سپهرمولد بابت علی الحساب</t>
  </si>
  <si>
    <t>پرداخت حقوق و دستمزد  بهمن ماه 1398 کارکنان شرکت پالایش میعانات گازی آدیش جنوبی طبق لیست پیوست</t>
  </si>
  <si>
    <t>پرداخت هزینه های مهندسی بهمن ماه 1398 شرکت پالایش میعانات گازی آدیش جنوبی طبق لیست پیوست</t>
  </si>
  <si>
    <t>1398/12/10</t>
  </si>
  <si>
    <t xml:space="preserve">
واریز به حساب 1-9000100-701-156 به نام آقای محمدرضا رودپیش زاده به شماره ملی 0053582608  بابت تسویه تنخواه ماموریت مورخ 1398/11/29
</t>
  </si>
  <si>
    <t>حواله ساتنا به حساب IR66 0190 0000 0010 6211 4900 08 نزد بانک صادرات بنام شرکت نویدخواه جم بابت تسویه خرید شن و ماسه از 1398/03/14 تا 1398/09/20</t>
  </si>
  <si>
    <t>حواله ساتنا به حساب IR56 0120 0000 0000 5660 0800 38 نزد بانک ملت بنام آقای وحید نجاری با کد ملی 0072382831 بابت تسویه ف 6 خرید میلگرد</t>
  </si>
  <si>
    <t>1398/12/11</t>
  </si>
  <si>
    <t>1398/12/12</t>
  </si>
  <si>
    <t xml:space="preserve">
واریز به حساب  1-5520159-010-170 به نام آقای محمودرضا منفرد به شماره ملی 0068941994  بابت تسویه کامل حقوق بهمن98+بازخرید سنوات و مرخصی و عیدی ایشان تا 1398/11/27
</t>
  </si>
  <si>
    <t xml:space="preserve">
واریز به حساب 1-5864245-800-123 به نام خانم مونا ایزدخواه  به شماره ملی 0015859169 بابت تسویه کامل حقوق دی و بهمن98+بازخرید سنوات و مرخصی و عیدی ایشان تا 1398/11/19
</t>
  </si>
  <si>
    <t xml:space="preserve">
واریز به حساب 1-16248479-800-215 به نام خانم ایلا کرمی به شماره ملی 0066710022 بابت تسویه کامل حقوق بهمن98+بازخرید سنوات و مرخصی و عیدی ایشان تا 1398/11/30
</t>
  </si>
  <si>
    <t>حواله ساتنا به حساب IR35 0120 0000 0000 0003 3635 23  نزد بانک ملت به نام آقای عبداله بحرانی جهت تسویه با شرکت شن و ماسه بهارجاشک جهت تسویه فاکتور دیماه 1398 خرید شن و ماسه سایت</t>
  </si>
  <si>
    <t xml:space="preserve">واریز به حساب IR23 0180 0000 0000 0012 9212 41  نزد بانک تجارت به نام شرکت نیکان تک ایرانیان بابت تسویه ف 5696  و الباقی ف 5498-1خرید ANCHOR BOLTS  طی قرارداد ADSH-P-PO-GE-022 </t>
  </si>
  <si>
    <t xml:space="preserve">واریز به حساب  1-1841173-800- 205 نزد بانک اقتصادنوین به نام شریعت رضوی جهت پرداخت مساعده با 2 قسط فروردین و اردیبهشت 1399 </t>
  </si>
  <si>
    <t>1398/12/13</t>
  </si>
  <si>
    <t>حواله ساتنا به حساب IR56 0120 0000 0000 5660 0800 38 نزد بانک ملت بنام آقای وحید نجاری با کد ملی 0072382831 بابت تسویه ف 7 خرید میلگرد</t>
  </si>
  <si>
    <t>1398/12/14</t>
  </si>
  <si>
    <t>واریز به شماره حساب 1-5942198-800-215 نزد بانک اقتصادنوین به نام زینب امین زاده به کد ملی 0080098940 بابت تنخواه جهت امورمحوله</t>
  </si>
  <si>
    <t xml:space="preserve">
واریز به حساب  1 - 2688597 - 800 - 215 به نام آقای محسن خستو به شماره ملی 4839597987  بابت تنخواه جهت انجام امورمحوله
</t>
  </si>
  <si>
    <t>واریز به حساب 1-203215-800-111 نزد بانک اقتصاد بنام خانم سمیرا زارعی با کد ملی 0068079801 بابت تسویه کامل بازخرید سنوات-مرخصی-عیدی تا 1398/09/30 با ایشان</t>
  </si>
  <si>
    <t>1398/12/15</t>
  </si>
  <si>
    <t xml:space="preserve">حواله ساتنا به حسابIR24 0180 0000 0000 0023 1276 60  نزد بانک تجارت به نام شرکت مهندسین مشاور پی کاو بابت پرداخت صورت وضعیت شماره 7 و 8 مطالعات ژئوتکنیک طبق قرارداد ش ADISH-E-CO_CV-005 </t>
  </si>
  <si>
    <t>حواله ساتنا به حساب شماره IR82 0120 0000 0000 8375 6509 27 نزد بانک ملت بنام شرکت پالایش میعانات گازی آدیش جنوبی بابت تامین موجودی جهت حق بیمه و مالیات و بهمن ماه 1398 سایت</t>
  </si>
  <si>
    <t>1398/12/17</t>
  </si>
  <si>
    <t xml:space="preserve">حواله ساتنا به حساب IR66 0170 0000 0010 7398 6970 01 نزد بانک ملی بنام شرکت شاهو ترابر پارس بابت علی الحسال هزینه های ترانزیت بارنامه MSNA86309 ترخیص 15 کانتینر ورق FGS </t>
  </si>
  <si>
    <t>1398/12/19</t>
  </si>
  <si>
    <t>حواله ساتنا به حساب IR56 0120 0000 0000 5660 0800 38 نزد بانک ملت بنام آقای وحید نجاری با کد ملی 0072382831 بابت تسویه ف 7-2 خرید میلگرد</t>
  </si>
  <si>
    <t>1398/12/20</t>
  </si>
  <si>
    <t>پرداخت عیدی سال 1398 کارکنان شرکت پالایش میعانات گازی آدیش جنوبی طبق لیست پیوست</t>
  </si>
  <si>
    <t>حواله ساتنا به حساب IR18 0120 0000 0000 5689 6805 63 نزد بانک ملت شعبه خیابان بزرگمهر به نام شرکت مهندسی ماه تابان رایانه جهت پرداخت فاکتور 17281 مورخ 98/12/06 خرید موس و ...</t>
  </si>
  <si>
    <t>1398/12/21</t>
  </si>
  <si>
    <t xml:space="preserve">حواله ساتنا به حساب IR90 0560 0816 8100 1066 5860 01   نزد بانک سامان شعبه اریکه ایرانیان کد 816  به نام شرکت آینده نگاران بابت تسویه ف 6459 خرید آنتی ویروس 1 ساله </t>
  </si>
  <si>
    <t>حواله ساتنا به حساب IR21 0120 0200 0000 4421 5120 85 نزد بانک ملت به نام شرکت خدمات مسافرت هوایی پرتو پرواز فردا بابت صورتحساب 52</t>
  </si>
  <si>
    <t>حواله ساتنا به حساب  IR79 0190 0000 0010 3126 6720 09 نزد بانک صادرات بنام شرکت طنین ارتباط پارمیس بابت تسویه ف 118 از ق ADSH-S-CO-GE-005 درخصوص پیگیری و اخد مجوز رادیویی</t>
  </si>
  <si>
    <t>حواله ساتنا به حساب IR48 0180 0000 0000 0083 4920 74  نزد بانک تجارت شعبه توانیر کد 832 به نام شرکت لوید آلمان کیش بابت تسویه ف 0168-20 و 0169-20 از ق ADSH-E-CO-GE-006</t>
  </si>
  <si>
    <t>1398/12/22</t>
  </si>
  <si>
    <t>حواله ساتنا به حساب IR85 0150 0000 0199 2300 3974 05 نزد بانک سپه به نام خانم فاطمه صیادی بابت تسویه قرارداد 026240 مورخ 98/04/22</t>
  </si>
  <si>
    <t>پرداخت جهت شارژ بن کارت های پرسنل بابت کمک هزینه خرید آجیل شب عید سال 1398 تعداد 53 نفر از کارکنان طبق لیست پیوست</t>
  </si>
  <si>
    <t>1398/12/24</t>
  </si>
  <si>
    <t>حواله ساتنا به حساب IR23 0180 0000 0000 0012 9212 41 نرد بانک تجارت بنام نیکان تک ایرانیان بابت تسویه صورتحساب 5797 و 5796  خرید ANCHOR BOLT بدون ارزش افزوده و پس از کسر 8 عدد کسری ردیف 3 ف 5797</t>
  </si>
  <si>
    <t>1398/12/25</t>
  </si>
  <si>
    <t>حواله ساتنا به حساب IR18 0120 0000 0000 5689 6805 63  نزد بانک ملت خیابان بزرگمهر بنام شرکت مهندسی ماه تابان رایانه بابت تسویه ف 17345 خرید نوت بوک آقای مهندس مشایخی طبق دستور پیوست</t>
  </si>
  <si>
    <t>پرداخت علی الحساب حقوق و دستمزد  اسفند ماه 1398 کارکنان شرکت پالایش میعانات گازی آدیش جنوبی طبق لیست پیوست</t>
  </si>
  <si>
    <t>حواله ساتنا به حساب IR66 0170 0000 0010 7398 6970 01 نزد بانک ملی بنام شرکت شاهو ترابر پارس بابت تسویه  ف 1133 هزینه های ترانزیت بارنامه MSNA86309 ترخیص 15 کانتینر ورق FGS پس کسر علی الحساب پرداختی</t>
  </si>
  <si>
    <t>حواله ساتنا به حساب IR21 0120 0200 0000 4421 5120 85 نزد بانک ملت به نام شرکت خدمات مسافرت هوایی پرتو پرواز فردا بابت صورتحساب 53</t>
  </si>
  <si>
    <t xml:space="preserve">
واریز به حساب  1 - 2688597 - 800 - 215 به نام آقای محسن خستو به شماره ملی 4839597987  بابت شارژ تنخواه جهت خرید سفته
</t>
  </si>
  <si>
    <t>واریز به حساب 1-140372-843-110 به نام آقای محسن صفائی فراهانی بابت عودت بدهی(علی الحساب اسنفند1398)</t>
  </si>
  <si>
    <t>1398/12/26</t>
  </si>
  <si>
    <t>حواله ساتنا به حساب IR23 0170 0000 0035 4839 2300 09 نزد بانک ملی بنام سیدرضا سیدین نیا با کد ملی 1111502791 بابت تسویه خرید آجر از کارخانه آجر صدف طی ف 58</t>
  </si>
  <si>
    <t>حواله ساتنا به حساب IR66 0170 0000 0010 7398 6970 01 نزد بانک ملی بنام شرکت شاهو ترابر پارس بابت هزینه تخلیه و برگرداندن کانتینرهای بارنامه MSNA86309 ترخیص 15 کانتینر ورق FGS طی نامه ش 98/0673</t>
  </si>
  <si>
    <t>حواله ساتنا به حساب IR56 0120 0000 0000 5660 0800 38 نزد بانک ملت بنام آقای وحید نجاری با کد ملی 0072382831 بابت تسویه ف 12 خرید میلگرد 20 و 22 از آهن اسکندی</t>
  </si>
  <si>
    <t>حواله ساتنا به حساب IR32 0180 0000 0000 1418 0880 08 نزد بانک تجارت بنام شرکت تولیدی پی ای اس بابت تسویه اینویس 1287-98 طی ق adsh-p-po-ge-026 جهت خرید لوله و اتصالات پلی اتیلن</t>
  </si>
  <si>
    <t>حواله ساتنا به حسابIR14 0630 1827 0631 6717 7170 01 نزد بانک انصار بنام شرکت دقیق سازان آراز بابت تسویه ف 931 و 932 و 933 خرید لوله و اتصالات فولادی UG  پس از کسر ردیف 1 ف 931</t>
  </si>
  <si>
    <t xml:space="preserve">حواله ساتنا به حساب IR44 0120 0000 0000 8587 1019 11 نزد بانک ملت شعبه ونک کد 65177 به نام شرکت اریس اوکسین بابت 25% پیش پرداخت پیش فاکتور شمارOX-PI-A-9807-347-REV06 </t>
  </si>
  <si>
    <t>1398/12/27</t>
  </si>
  <si>
    <t>حواله ساتنا به حساب IR35 0120 0000 0000 0003 3635 23  نزد بانک ملت به نام آقای عبداله بحرانی جهت تسویه با شرکت شن و ماسه بهارجاشک جهت تسویه فاکتور بهمن ماه 1398 خرید شن و ماسه سایت</t>
  </si>
  <si>
    <t xml:space="preserve">حواله ساتنا به حسابIR21 0150 0000 0049 7301 6353 09 نزد بانک سپه بنام شرکت فولاد زرین قشم جهت تسویه کامل الباقی ف 1323 خرید میلگرد </t>
  </si>
  <si>
    <t>حواله ساتنا به حساب IR56 0120 0000 0000 5660 0800 38 نزد بانک ملت بنام آقای وحید نجاری با کد ملی 0072382831 بابت علی الحساب ف 13 خرید میلگرد 12 از آهن اسکندی</t>
  </si>
  <si>
    <t>واریز به حساب IR03 0170 0000 0022 2679 2060 03 به نام شرکت مهندسی و ساخت صنعت پژوهان ماهان بابت تسویه ف 1035 و 1036 و 1037 خرید بتن پس از کسر سیمان فله تیپ 2 ارسالی و کسورات</t>
  </si>
  <si>
    <t>حواله ساتنا به حساب IR18 0120 0000 0000 7225 7502 53 نزد بانک ملت بنام شرکت بهبد صنعت پارس بابت تسویه کامل ص و ش 1 پس از کسورات قانونی ق ADSH-E-CO-EL-001 در خصوص خدمات مهندسی سیستم حفاظت کاتدیک</t>
  </si>
  <si>
    <t>1399/01/10</t>
  </si>
  <si>
    <t>بانک اقتصادنوین</t>
  </si>
  <si>
    <t xml:space="preserve">
واریز به حساب  1 - 2688597 - 800 - 215 به نام آقای محسن خستو به شماره ملی 4839597987  بابت شارژ تنخواه جهت تسویه هزینه ترخیص بارنامه hdm1267WESL9678 بابت ورقهای ایرکولر
</t>
  </si>
  <si>
    <t xml:space="preserve">
واریز به حساب  1 - 2688597 - 800 - 215 به نام آقای محسن خستو به شماره ملی 4839597987  بابت شارژ تنخواه جهت واریز سپرده نقدی هزینه ترخیص بارنامه hdm1267WESL9678 بابت ورقهای ایرکولر
</t>
  </si>
  <si>
    <t>1399/01/11</t>
  </si>
  <si>
    <t xml:space="preserve">
واریز به حساب  1 - 2688597 - 800 - 215 به نام آقای محسن خستو به شماره ملی 4839597987  بابت شارژ تنخواه دفتر مرکزی جهت خرید ملزومات مصرفی
</t>
  </si>
  <si>
    <t>1399/01/17</t>
  </si>
  <si>
    <t xml:space="preserve">
واریز به حساب  1 - 2688597 - 800 - 215 به نام آقای محسن خستو به شماره ملی 4839597987  بابت شارژ تنخواه 1399 دفتر مرکزی (با سقف 100.000.000 ریال )</t>
  </si>
  <si>
    <t>1399/01/18</t>
  </si>
  <si>
    <t xml:space="preserve">
واریز به حساب 1-3521110-1-117 به نام آقای مهدی دمیرچی بابت تسویه دیرکرد کانتینرهای بارنامه hdm1267WESL9678 شرکت کشتیرانی هوپاد دریا طی صورتحساب ارسالی پیوست
</t>
  </si>
  <si>
    <t>1399/01/19</t>
  </si>
  <si>
    <t>حواله ساتنا به حساب IR27 0120 0000 0000 4794 7826 51 نزد بانک ملت شعبه پیچ شمیران به نام شرکت مهندسی پاژ پرداز سامانه جهت پرداخت فاکتور 981 خرید 2 دستگاه بیسیم جهت سایت</t>
  </si>
  <si>
    <t>1399/01/20</t>
  </si>
  <si>
    <t xml:space="preserve">
واریز به حساب  1 - 2688597 - 800 - 215 به نام آقای محسن خستو به شماره ملی 4839597987  بابت شارژ تنخواه 1399 دفتر مرکزی (اسناد هزینه تنخواه ش 4 )</t>
  </si>
  <si>
    <t>حواله ساتنا به حساب IR09 0180 0000 0000 0352 5514 73 نزد بانک تجارت به نام ریخته گری برناگداز بابت 50% پیش پرداخت خرید تجهیزات طی درخواست خرید 9850220 و 9850227 و 9850226 طبق ق ADSH-P-CO-EL-002 جهت سیستم حفاظت کاتدیک</t>
  </si>
  <si>
    <t>1399/01/24</t>
  </si>
  <si>
    <t>پرداخت و تسویه نهایی بازخرید خدمت سال 1398 کارکنان شرکت پالایش میعانات گازی آدیش جنوبی طبق لیست پیوست</t>
  </si>
  <si>
    <t>پرداخت مابه التفاوت حقوق و دستمزد اسفندماه 1398 کارکنان شرکت پالایش میعانات گازی آدیش جنوبی طبق لیست پیوست</t>
  </si>
  <si>
    <t>1399/01/25</t>
  </si>
  <si>
    <t xml:space="preserve">
واریز به حساب  1 - 2688597 - 800 - 215 به نام آقای محسن خستو به شماره ملی 4839597987  بابت شارژ تنخواه دفتر مرکزی (اسناد هزینه تنخواه ش 5 و 6 )</t>
  </si>
  <si>
    <t>واریز به حساب 1-140372-843-110 به نام آقای محسن صفائی فراهانی بابت عودت بدهی(مابه التفاوت اسفند1398)</t>
  </si>
  <si>
    <t xml:space="preserve">حواله ساتنا به حساب شماره IR82 0120 0000 0000 8375 6509 27 نزد بانک ملت بنام شرکت پالایش میعانات گازی آدیش جنوبی بابت تامین موجودی جهت حق بیمه و مالیات اسفند ماه 1398 </t>
  </si>
  <si>
    <t>1399/01/26</t>
  </si>
  <si>
    <t>1399/01/27</t>
  </si>
  <si>
    <t>1399/01/30</t>
  </si>
  <si>
    <t>حواله ساتنا به حساب IR66 0170 0000 0010 7398 6970 01 نزد بانک ملی بنام شرکت شاهو ترابر پارس بابت هزینه ترخیص و تشریفات گمرکی بارنامه HDM126WESL9678 ترخیص 3 کانتینر TUBE AIRCOOLER پارت20فاتح طی ف 1148</t>
  </si>
  <si>
    <t xml:space="preserve">
واریز به حساب  1 - 2688597 - 800 - 215 به نام آقای محسن خستو به شماره ملی 4839597987  بابت شارژ تنخواه دفتر مرکزی (اسناد هزینه تنخواه ش 7 و 8 )</t>
  </si>
  <si>
    <t>1399/02/01</t>
  </si>
  <si>
    <t>حواله ساتنا به حساب IR66 0170 0000 0010 7398 6970 01 نزد بانک ملی بنام شرکت شاهو ترابر پارس بابت هزینه ترخیص و تشریفات گمرکی بارنامه S01906SHAABB1150 ترخیص محموله CLAD طی ف 1149</t>
  </si>
  <si>
    <t>1399/02/02</t>
  </si>
  <si>
    <t>حواله ساتنا به حساب IR18 0120 0000 0000 5689 6805 63 نزد بانک ملت شعبه خیابان بزرگمهر به نام  شرکت مهندسی ماه تابان رایانه جهت پرداخت فاکتور 17392 مورخ 1399/01/26 بابت خرید 3 دستگاه تبلت</t>
  </si>
  <si>
    <t>حواله ساتنا به حساب IR27 0120 0000 0000 4794 7826 51 نزد بانک ملت شعبه پیچ شمیران به نام  شرکت مهندسی پاژ پرداز سامانه جهت پرداخت فاکتور 982 خرید پچ کورد مورد نیاز واحد IT</t>
  </si>
  <si>
    <t>حواله ساتنا به حساب IR31 0120 0000 0000 8686 8004 91 نزد بانک ملت به نام شرکت رایانه افزار خط سبز بابت تسویه ف 154 خریر رور اچ پی مدل DL380 610 جهت دفترمرکزی</t>
  </si>
  <si>
    <t>واریزی آقای صفایی بابت قرض الحسنه</t>
  </si>
  <si>
    <t>واریز سود آتیه نوین</t>
  </si>
  <si>
    <t>1399/01/16</t>
  </si>
  <si>
    <t>واریز سود علی الحساب از 1398/12/10 تا 1399/01/09</t>
  </si>
  <si>
    <t>1399/02/03</t>
  </si>
  <si>
    <t>حواله ساتنا به حساب IR35 0120 0000 0000 0013 5569 62 نزد بانک ملت بنام شرکت تولیدی و صنعتی سیم و کابل مغان بابت 60% پیش پرداخت ق ADSH-P-CO-EL-003 خرید کابلهای سیستم حفاظت کاتدیک</t>
  </si>
  <si>
    <t>1399/02/06</t>
  </si>
  <si>
    <t xml:space="preserve">
واریز به حساب  1 - 2688597 - 800 - 215 به نام آقای محسن خستو به شماره ملی 4839597987  بابت شارژ تنخواه دفتر مرکزی (اسناد هزینه تنخواه ش 9 و 10 و 11 و 12 )</t>
  </si>
  <si>
    <t>1399/02/07</t>
  </si>
  <si>
    <t xml:space="preserve">حواله ساتنا به حساب IR11 0200 0000 0010 0011 6220 06  نزد بانک توسعه صادرات کد 1305 بنام شرکت تولیدی و صنعتی فراسان بابت تسویه کامل ف 981987 و 981914 خرید لوله و .. پس از کسر پیش پرداخت </t>
  </si>
  <si>
    <t>حواله ساتنا به حساب IR21 0120 0200 0000 4421 5120 85 نزد بانک ملت به نام شرکت خدمات مسافرت هوایی پرتو پرواز فردا بابت صورتحساب 54</t>
  </si>
  <si>
    <t>1399/02/09</t>
  </si>
  <si>
    <t>حواله ساتنا به حساب IR48 0180 0000 0000 0083 4920 74  نزد بانک تجارت شعبه توانیر کد 832 به نام شرکت لوید آلمان کیش بابت تسویه ف 0242-20 و 0241-20 از ق ADSH-E-CO-GE-006</t>
  </si>
  <si>
    <t>حواله ساتنا به حساب IR84 0190 0000 0011 3485 8520 06 نزد بانک صادرات بنام شرکت آذین تجهیز مهر بابت تسویه ف 1073 خرید دستگاه تب سنج لیزری تفنگی بابت دفترمرکزی</t>
  </si>
  <si>
    <t>حواله ساتنا به حساب IR27 0120 0000 0000 5857 6628 67  نزد بانک ملت بنام شرکت مهر طب جی بابت تسویه ف 4451 خرید ماسک کشی سفید بابت دفترمرکزی</t>
  </si>
  <si>
    <t>واریزی سهامداران(رباط19.5+تناوب14+صحرائیان5+یعقوبی3.250+صفایی8.250)</t>
  </si>
  <si>
    <t>واریزی آقای صحرائیان</t>
  </si>
  <si>
    <t>1399/02/08</t>
  </si>
  <si>
    <t>حواله ساتنا به حساب IR66 0170 0000 0010 7398 6970 01 نزد بانک ملی بنام شرکت شاهو ترابر پارس بابت هزینه ترخیص و تشریفات گمرکی بارنامه WS2001TJABS29 ترخیص ورق پارت10 راژان طی ف 1158</t>
  </si>
  <si>
    <t>واریزی شاهوترابر بابت مازاد واریزی بابت بارنامه .....</t>
  </si>
  <si>
    <t>1399/02/10</t>
  </si>
  <si>
    <t xml:space="preserve">حواله ساتنا به حسابIR24 0180 0000 0000 0023 1276 60  نزد بانک تجارت به نام شرکت مهندسین مشاور پی کاو بابت پرداخت کامل صورت وضعیت تائید شده شماره 9 مطالعات ژئوتکنیک طبق قرارداد ش ADISH-E-CO_CV-005 </t>
  </si>
  <si>
    <t xml:space="preserve">
واریز به حساب  1 - 2688597 - 800 - 215 به نام آقای محسن خستو به شماره ملی 4839597987  بابت شارژ تنخواه دفتر مرکزی (اسناد هزینه تنخواه ش 13.14.15 )</t>
  </si>
  <si>
    <t>حواله ساتنا به حساب IR46 0560 0810 8100 2767 8090 01  نزد بانک سامان بنام شرکت بازرسی فنی ایرانیان بابت تسویه ص و ش IN-5083-003  بازرسی ورقهای CLAD</t>
  </si>
  <si>
    <t>حواله ساتنا به حساب IR11 0120 0100 0000 8461 4005 31 نزد بانک ملت به نام آقای علی حسین آبادی با کدملی 0011048433  بابت تسویه ف 593 شرکت پارس لیبهر خرید ویبراتور و بلبزینگ و لوازم تابلو برق دستگاه بچینگ</t>
  </si>
  <si>
    <t>پرداخت حقوق و دستمزد فروردین ماه 1399 کارکنان شرکت پالایش میعانات گازی آدیش جنوبی طبق لیست پیوست</t>
  </si>
  <si>
    <t>1399/02/11</t>
  </si>
  <si>
    <t>پرداخت هزینه های فروردین ماه 1399 کارکنان شرکت پالایش میعانات گازی آدیش جنوبی طبق لیست پیوست</t>
  </si>
  <si>
    <t>واریز به حساب 1-140372-843-110 به نام آقای محسن صفائی فراهانی بابت عودت بدهی(مابه التفاوت فروردین 1399)</t>
  </si>
  <si>
    <t>1399/02/14</t>
  </si>
  <si>
    <t>حواله ساتنا به حساب IR62 0130 1000 0000 0003 0713 03 نزد بانک رفاه بنام آقای حمیدرضا صابری بابت تسویه صورتحساب 53787/98 مورخ 1398/12/21 مرکز تخصصی طب کارپایوران راه سلامت بابت آزمایشات دوره ای پرسنل</t>
  </si>
  <si>
    <t>حواله ساتنا به حساب IR74  0120  0000  0000  4428  1696  26 نزد بانک ملت شعبه لامرد به نام شرکت حمل و نقل کهورک بار لامرد بابت خرید سیمان به همراه حمل جهت سایت کنگان طی صورتحساب 99-0002 مورخ 1399/02/08 خرید 1000 تن سیمان فله تیپ2 طبق درخواست 028 سایت</t>
  </si>
  <si>
    <t>1399/02/15</t>
  </si>
  <si>
    <t>حواله ساتنا به حساب IR66 0170 0000 0010 7398 6970 01 نزد بانک ملی بنام شرکت شاهو ترابر پارس بابت هزینه ترخیص و تشریفات گمرکی بارنامه S01906SHAABB181 ترخیص 6 کامیون ترانزیت ورقهای CLAD پارت 11 FGS (بدهی فاتح صنعت کیمیا)</t>
  </si>
  <si>
    <t>1399/02/16</t>
  </si>
  <si>
    <t>حواله ساتنا به حساب IR73 0170 0000 0011 1371 6220 02  نزد بانک ملی به نام شرکت کاریز هیدرو سازه گیل بابت تسویه صورتحساب 1346 خرید میکروسیلیس و ابرروان کننده و کاهنده شدید آب بتن</t>
  </si>
  <si>
    <t>حواله ساتنا به حساب IR89 0120 0100 0000 1333 8960 66  نزد بانک ملت بنام آقای حمیدرضا غلامیان به کدملی 4650648424 بابت تسویه ف 80621 و 21421 گروه فنی مهندسی اتوسیستم بابت تمدید  نرم افزار تحت شبکه plantwave &amp; aveva pdms</t>
  </si>
  <si>
    <t>واریزی به شماره حساب 1-6304216-800-159 بنام آقای سیدابوالفضل علوی نژاد با کد ملی 4569944469 بابت تسویه کامل بازخرید سنوات و طلب مرخصی ایشان تا 1398/12/29</t>
  </si>
  <si>
    <t>واریزی به شماره حساب 1-5562677-800-103 بنام خانم فرناز صالحی با کد ملی 0453448951 بابت تسویه کامل طلب مرخصی ایشان تا 1398/09/30</t>
  </si>
  <si>
    <t xml:space="preserve">حواله ساتنا به حساب IR290120020000005511133214 نزد بانک ملت شعبه استاد مطهری به نام شرکت راهکار برتر آراد پایا بابت تسویه ف 99006 خرید بسته افزایشی 50 کابر نرم افزار پوپک </t>
  </si>
  <si>
    <t>1399/02/17</t>
  </si>
  <si>
    <t>حواله ساتنا به حساب IR35 0120 0000 0000 0003 3635 23  نزد بانک ملت به نام آقای عبداله بحرانی جهت تسویه با شرکت شن و ماسه بهارجاشک جهت تسویه فاکتور اسفند ماه 1398 خرید شن و ماسه سایت</t>
  </si>
  <si>
    <t xml:space="preserve">
واریز به حساب  1 - 2688597 - 800 - 215 به نام آقای محسن خستو به شماره ملی 4839597987  بابت شارژ تنخواه دفتر مرکزی (اسناد هزینه تنخواه ش 16.17 )</t>
  </si>
  <si>
    <t>1399/02/21</t>
  </si>
  <si>
    <t>حواله ساتنا به حساب IR21 0120 0200 0000 4421 5120 85 نزد بانک ملت به نام شرکت خدمات مسافرت هوایی پرتو پرواز فردا بابت صورتحساب 55</t>
  </si>
  <si>
    <t xml:space="preserve">
واریز به حساب  1 - 2688597 - 800 - 215 به نام آقای محسن خستو به شماره ملی 4839597987  بابت شارژ تنخواه دفتر مرکزی (اسناد هزینه تنخواه ش 18.19 )</t>
  </si>
  <si>
    <t>1399/02/22</t>
  </si>
  <si>
    <t>واریزی سهامداران(رباط12.900+تناوب9.261+صحرائیان3.300+یعقوبی2+صفایی5.614)</t>
  </si>
  <si>
    <t>1399/02/20</t>
  </si>
  <si>
    <t>واریز سود علی الحساب از 1399/01/10 تا 1399/02/09</t>
  </si>
  <si>
    <t>1399/02/23</t>
  </si>
  <si>
    <t>حواله ساتنا به حساب IR08 0540 1027 4700 0875 7086 06 نزد بانک پارسیان بنام شرکت کاوشکاران آزمون های غیر مخرب دقیق بابت تسویه پ ف 997137-2 خرید ضخامت سنج مدل OT60DL واحد بازرسی</t>
  </si>
  <si>
    <t>1399/02/24</t>
  </si>
  <si>
    <t>حواله ساتنا به حساب IR79 0170 0000 0010 6023 1320 07 نزد بانک ملی بنام شرکت برنا الکترونیک بابت 60% پ پ خرید تجهیزات بالک طی 5 فقره پ ف پیوست</t>
  </si>
  <si>
    <t xml:space="preserve">
واریز به حساب  1 - 2688597 - 800 - 215 به نام آقای محسن خستو به شماره ملی 4839597987  بابت شارژ تنخواه دفتر مرکزی (اسناد هزینه تنخواه ش 20.21.22 )</t>
  </si>
  <si>
    <t>واریز به حساب 1-3973170-800-147 نزد بانک اقتصادنوین بنام آقای سجاد طهماسبی احسن به کدملی 3801268071 بابت تسویه کامل بازخرید خدمت و طلب مرخصی و .... ایشان تا 1398/12/29</t>
  </si>
  <si>
    <t>حواله ساتنا به حساب شماره IR82 0120 0000 0000 8375 6509 27 نزد بانک ملت بنام شرکت پالایش میعانات گازی آدیش جنوبی بابت تامین موجودی جهت حق بیمه و مالیات فروردین ماه 1399</t>
  </si>
  <si>
    <t>1399/02/27</t>
  </si>
  <si>
    <t>1399/02/29</t>
  </si>
  <si>
    <t>حواله ساتنا به حساب IR74 0530 0000 0010 0902 4266 01 نزد بانک کارآفرین به نام شرکت اطمینان تجارت خبره به کد اقتصادی 411563349719 بابت میلگردهای آجدار قطر 25 طول 12 آجدار 400 ذوب آهن</t>
  </si>
  <si>
    <t>حواله ساتنا به حساب IR41 0120 0000 0000 8695 2940 19 نزد بانک ملت به نام شرکت تدبیرنگاران زاگرس به کد اقتصادی 411414866488 بابت دماسنج دیجیتال مادون قرمز</t>
  </si>
  <si>
    <t>حواله ساتنا به حساب IR56 0120 0000 0000 5660 0800 38 نزد بانک ملت بنام آقای وحید نجاری با کد ملی 0072382831 بابت تسویه ف ... خرید ورق 8 و 25 میل از آهن اسکندی</t>
  </si>
  <si>
    <t>1399/02/30</t>
  </si>
  <si>
    <t>حواله ساتنا به حساب IR35 0120 0000 0000 0013 5569 62 نزد بانک ملت بنام شرکت تولیدی و صنعتی سیم و کابل مغان بابت تسویه کامل ف 35208 و 35241 از ق ADSH-P-CO-EL-003 خرید کابلهای سیستم حفاظت کاتدیک پس از کسر پیش پرداخت</t>
  </si>
  <si>
    <t>حواله ساتنا به حساب IR61 0560 0821 8100 2407 9720 01 نزد بانک سامان به نام شرکت آریا ترابر البرز بابت سپرده نقدی کانتینر بارنامه SYECJK200217 طی ف 98/000/181 بابت حمل محموله HEATER KTI</t>
  </si>
  <si>
    <t>حواله ساتنا به حساب IR61 0560 0821 8100 2407 9720 01 نزد بانک سامان به نام شرکت آریا ترابر البرز بابت هزینه های ترخیص طی ف A1390 و علی الحساب حق توقف کانتینر بارنامه SYECJK200217 طی ف 98/000/181 بابت حمل محموله HEATER KTI</t>
  </si>
  <si>
    <t>1399/03/01</t>
  </si>
  <si>
    <t>حواله ساتنا به حساب IR74 0530 0000 0010 0902 4266 01 نزد بانک کارآفرین به نام شرکت اطمینان تجارت خبره به کد اقتصادی 411563349719 بابت تسویه کامل پ ف 10025 خرید میلگردهای آجدار قطر 25 طول 12 آجدار 400 ذوب آهن</t>
  </si>
  <si>
    <t>1399/03/06</t>
  </si>
  <si>
    <t>حواله ساتنا به حساب IR21 0120 0200 0000 4421 5120 85 نزد بانک ملت به نام شرکت خدمات مسافرت هوایی پرتو پرواز فردا بابت صورتحساب 56</t>
  </si>
  <si>
    <t>1399/03/07</t>
  </si>
  <si>
    <t>حواله ساتنا به حساب IR77 0120 0000 0000 0306 6047 49 نزد بانک ملت بنام شرکت پوششهای محافظتی جنوب بابت تسویه پ ف 70 خرید cold wrap inner</t>
  </si>
  <si>
    <t xml:space="preserve">
واریز به حساب  1 - 2688597 - 800 - 215 به نام آقای محسن خستو به شماره ملی 4839597987  بابت شارژ تنخواه دفتر مرکزی (اسناد هزینه تنخواه ش 23.24.25.26.27)</t>
  </si>
  <si>
    <t>1399/03/10</t>
  </si>
  <si>
    <t>1399/03/11</t>
  </si>
  <si>
    <t xml:space="preserve">حواله ساتنا به حسابIR14 0630 1827 0631 6717 7170 01 نزد بانک انصار بنام شرکت دقیق سازان آراز بابت تسویه پ ف 873-rev1 خرید لوله و اتصالات فولادی UG  </t>
  </si>
  <si>
    <t>پرداخت حقوق و دستمزد اردیبهشت ماه 1399 کارکنان شرکت پالایش میعانات گازی آدیش جنوبی طبق لیست پیوست</t>
  </si>
  <si>
    <t>پرداخت هزینه های مهندسی اردیبهشت ماه 1399 کارکنان شرکت پالایش میعانات گازی آدیش جنوبی طبق لیست پیوست</t>
  </si>
  <si>
    <t>واریز به حساب 1-140372-843-110 به نام آقای محسن صفائی فراهانی بابت عودت بدهی H-13990231)</t>
  </si>
  <si>
    <t>واریز سود علی الحساب از 1399/02/10 تا 1399/03/09</t>
  </si>
  <si>
    <t>واریزی آقای مهندس صفایی بابت قرض الحسنه از ایشان</t>
  </si>
  <si>
    <t>واریزی از بانک ملت کوتاه مدت بابت تامین موجودی</t>
  </si>
  <si>
    <t>واریزی از تناوب بابت لفزایش سرمایه</t>
  </si>
  <si>
    <t>1399/03/12</t>
  </si>
  <si>
    <t>واریزی از شرکت سنگ رباط مرکزی</t>
  </si>
  <si>
    <t>حواله ساتنا به حساب IR79 0170 0000 0010 6023 1320 07 نزد بانک ملی بنام شرکت برنا الکترونیک بابت تسویه کامل ف 5954 خرید تجهیزات بالک پس از کسر 60% پیش پرداخت</t>
  </si>
  <si>
    <t>حواله ساتنا به حساب IR79 0170 0000 0010 6023 1320 07 نزد بانک ملی بنام شرکت برناالکترونیک بابت تسویه کامل ف 5928 و 5929 و 5940 خرید طی پروفرما اینویس BE-EL-9809147  بابت تجهیزات سیستم ارتینگ و لایتینگ پس از کسر 70% پیش پرداخت</t>
  </si>
  <si>
    <t>حواله ساتنا به حساب IR74 0530 0000 0010 0902 4266 01 نزد بانک کارآفرین به نام شرکت اطمینان تجارت خبره به کد اقتصادی 411563349719 بابت تسویه پ ف 10028 خرید میلگرد 20 و 25</t>
  </si>
  <si>
    <t xml:space="preserve">حواله ساتنا به حسابIR24 0180 0000 0000 0023 1276 60  نزد بانک تجارت به نام شرکت مهندسین مشاور پی کاو بابت پرداخت کامل صورت وضعیت تائید شده شماره 10 مطالعات ژئوتکنیک طبق قرارداد ش ADISH-E-CO_CV-005 </t>
  </si>
  <si>
    <t>1399/03/13</t>
  </si>
  <si>
    <t>حواله ساتنا به حساب IR56 0100 0040 0104 5404 0153 60 بنام خزانه تمرکز وجوه درآمد شرکت های دولتی-شرکت ملی صنایع پتروشیمی نزد بانک مرکزی جمهوری اسلامی ایران بابت تسویه صورتحساب 99D0028 انبارداری بارنامه HDM1270WKOR2206 جهت محموله اول HEATER KTI</t>
  </si>
  <si>
    <t>حواله ساتنا به حساب IR95 0170 0000 0010 6641 5330 06 نزد بانک ملی به نام شرکت بین المللی ساروج بوشهر بابت تسویه پ ف 99/3/2392 خرید سیمان فله تیپ2</t>
  </si>
  <si>
    <t>حواله ساتنا به حساب IR56 0120 0000 0000 5660 0800 38 نزد بانک ملت بنام آقای وحید نجاری با کد ملی 0072382831 بابت تسویه الباقی ف 21 خرید ورق 8 و 25 میل از آهن اسکندی</t>
  </si>
  <si>
    <t>حواله ساتنا به حساب IR23 0170 0000 0035 4839 2300 09 نزد بانک ملی بنام سیدرضا سیدین نیا با کد ملی 1111502791 بابت تسویه خرید آجر از کارخانه آجر صدف طی ف 4 و تسویه کامل الباقی ف 58</t>
  </si>
  <si>
    <t xml:space="preserve">حواله ساتنا به حسابIR14 0630 1827 0631 6717 7170 01 نزد بانک انصار بنام شرکت دقیق سازان آراز بابت تسویه  ف 959 خرید لوله و اتصالات فولادی UG  </t>
  </si>
  <si>
    <t>1399/03/17</t>
  </si>
  <si>
    <t>حواله ساتنا به حساب IR66 0170 0000 0010 7398 6970 01 نزد بانک ملی بنام شرکت شاهو ترابر پارس بابت هزینه ترخیص و تشریفات گمرکی بارنامه MSNA86356  ترخیص مرحله 2 HEATER KTI طی ف 1200</t>
  </si>
  <si>
    <t>واریزی از فاتح صنعت بابت عودت بخشی سپرده ضم 98182080424</t>
  </si>
  <si>
    <t>واریزی سهامداران(رباط15.900+تناوب11.500+صحرائیان4.250+یعقوبی1.450+صفایی6.900)</t>
  </si>
  <si>
    <t>حواله ساتنا به حساب IR66 0170 0000 0010 7398 6970 01 نزد بانک ملی بنام شرکت شاهو ترابر پارس بابت سپرده نقدی هزینه ترخیص و تشریفات گمرکی بارنامه MSNA86356  ترخیص مرحله 2 HEATER KTI طی ف 1200</t>
  </si>
  <si>
    <t>حواله ساتنا به حساب IR66 0170 0000 0011 0246 8110 01 نزد بانک ملی بنام شرکت فرشته اقیانوس آبی بابت هزینه ترخیص بارنامه BND/2004/2/2  بابت ترخیص centrifugal pump roodhart طی ف 99000024</t>
  </si>
  <si>
    <t>حواله ساتنا به حساب  IR66 0170 0000 0011 0246 8110 01 نزد بانک ملی بنام شرکت فرشته اقیانوس آبی بابت سپرده نقدی کانتینرهای بارنامه BND/2004/2/2  بابت ترخیص centrifugal pump roodhart طی ف 99000024</t>
  </si>
  <si>
    <t>برگشت حواله ساتنا به حساب IR56 0100 0040 0104 5404 0153 60 بنام خزانه تمرکز وجوه درآمد شرکت های دولتی-شرکت ملی صنایع پتروشیمی نزد بانک مرکزی جمهوری اسلامی ایران بابت تسویه صورتحساب 99D0028 انبارداری بارنامه HDM1270WKOR2206 جهت محموله اول HEATER KTI</t>
  </si>
  <si>
    <t>1399/03/18</t>
  </si>
  <si>
    <t>واریزی از صندوق آتیه نوین</t>
  </si>
  <si>
    <t>حواله ساتنا به حساب IR77 0170 0000 0022 4764 0310 06 نزد بانک ملی بنام آقای مسلم صفری بابت پرداخت به شرکت ملی صنایع پتروشیمی جهت تسویه صورتحساب 99D0028 انبارداری بارنامه HDM1270WKOR2206 جهت محموله اول HEATER KTI(وجه فوق طی چ ش 479461 مورخ 98/03/13 واریز شدولیکن وجه طی سند 20271658 در مورخ 1398/03/17 به حساب شرکت برگشت شد و توسط ایشان پرداخت صورت پذیرفت)</t>
  </si>
  <si>
    <t>واریز به شماره حساب IR51 0110 0000 0020 0079 4320 00 نزد بانک صنعت و معدن شعبه توسعه ملی بنام شرکت پالایش میعانات گازی آدیش جنوبی بابت تامین موجودی جهت بخشی از کارمزد تمدید اعتبار</t>
  </si>
  <si>
    <t xml:space="preserve">
واریز به حساب  1 - 2688597 - 800 - 215 به نام آقای محسن خستو به شماره ملی 4839597987  بابت شارژ تنخواه دفتر مرکزی (اسناد هزینه تنخواه ش 28.29.30.31)</t>
  </si>
  <si>
    <t>واریز به شماره حساب 1-6300529-2-155 نزد بانک اقتصادنوین به نام شرکت بهساز فرآیند سیستم بابت پرداخت بخشی از قرارداد شماره 1398/132/BFS جهت استقرار ماژول های دفتر کل و جبران خدمات پس از کسر کسورات قانونی</t>
  </si>
  <si>
    <t>حواله ساتنا به حساب IR56 0120 0000 0000 5660 0800 38 نزد بانک ملت بنام آقای وحید نجاری با کد ملی 0072382831 بابت تسویه ف 22 خرید ورق 8 و 25 میل از آهن اسکندی مورخ 99/03/03</t>
  </si>
  <si>
    <t>حواله ساتنا به حساب IR18 0120 0000 0000 5689 6805 63 نزد بانک ملت شعبه خیابان بزرگمهر به نام  شرکت مهندسی ماه تابان رایانه جهت پرداخت فاکتور 17714 مورخ 1399/03/06 بابت خرید 3 دستگاه کامپیوتر و 6 دستگاه مانیتور</t>
  </si>
  <si>
    <t>1399/03/20</t>
  </si>
  <si>
    <t>واریز به حساب IR03 0170 0000 0022 2679 2060 03 به نام شرکت مهندسی و ساخت صنعت پژوهان ماهان بابت تسویه آرماتور 16 و 12 تحویلی طبق صورتجلسه های ارسالی نامه 1399/03/12 و طبق تائیید و دستور مدیریت</t>
  </si>
  <si>
    <t>1399/03/21</t>
  </si>
  <si>
    <t>واریز به شماره حساب جاری IR93 0120 0000 0000 8766 3467 47  نزد بانک ملت به نام آقایان بهرام طالبی سیلاب و محمد شریفی و رضا صفری بابت پرداخت جهت خرید 5 دستگاه کانتینر 12 متری(40فوت)جهت تخلیه هیتر ها طبق درخواست کارگاه و تائید پرداخت مدیریت</t>
  </si>
  <si>
    <t>حواله ساتنا به حساب IR21 0120 0200 0000 4421 5120 85 نزد بانک ملت به نام شرکت خدمات مسافرت هوایی پرتو پرواز فردا بابت صورتحساب 57</t>
  </si>
  <si>
    <t>واریزی آقای غلامرضا صحرائیان بابت سهم ایشان از افزایش سرمایه</t>
  </si>
  <si>
    <t>واریزی سهامداران(رباط21.450+تناوب15.400+صحرائیان5.500+یعقوبی3.300+صفایی9.350)</t>
  </si>
  <si>
    <t>1399/03/25</t>
  </si>
  <si>
    <t>واریزی شرکت تناوب بابت سهم ایشان از افزایش سرمایه</t>
  </si>
  <si>
    <t>1399/03/26</t>
  </si>
  <si>
    <t>حواله ساتنا به حساب IR73 0170 0000 0011 1371 6220 02  نزد بانک ملی به نام شرکت کاریز هیدرو سازه گیل بابت تسویه صورتحساب 1414 خرید میکروسیلیس و ابرروان کننده و کاهنده شدید آب بتن</t>
  </si>
  <si>
    <t xml:space="preserve">حواله ساتنا به حساب IR56 0120 0000 0000 5660 0800 38 نزد بانک ملت بنام آقای وحید نجاری با کد ملی 0072382831 بابت تسویه ف 23 خرید میلیگرد 10 از آهن اسکندی </t>
  </si>
  <si>
    <t>حواله ساتنا به حساب IR22 0180 0000 0000 2311 0829 92 نزد بانک تجارت بنام شرکت خبرگان بین المللی تهران بابت تسویه ف 14232 جهت بازرسی پمپهای رودهارت</t>
  </si>
  <si>
    <t>حواله ساتنا به حساب IR60  0120  0200  0000  1714  4834  95 نزد بانک ملت به نام آقای عباس رحیمی بابت فاکتور شماره 1101-9903  P.B.X جهت خرید گوشی تلفن و کارت</t>
  </si>
  <si>
    <t xml:space="preserve">حواله ساتنا به حساب شماره IR82 0120 0000 0000 8375 6509 27 نزد بانک ملت بنام شرکت پالایش میعانات گازی آدیش جنوبی بابت تامین موجودی جهت حق بیمه و مالیات اردیبهشت ماه 1398 </t>
  </si>
  <si>
    <t xml:space="preserve">
واریز به حساب  1 - 2688597 - 800 - 215 به نام آقای محسن خستو به شماره ملی 4839597987  بابت شارژ تنخواه دفتر مرکزی (اسناد هزینه تنخواه ش 32.33.34.35)</t>
  </si>
  <si>
    <t>حواله ساتنا به حساب IR66 0170 0000 0010 7398 6970 01 نزد بانک ملی بنام شرکت شاهو ترابر پارس بابت هزینه ترخیص و تشریفات گمرکی بارنامه MSNA86356  ترخیص مرحله 2 HEATER KTI طی ف 1214</t>
  </si>
  <si>
    <t>1399/03/31</t>
  </si>
  <si>
    <t>حواله ساتنا به حساب شماره IR77 0180 0000 0000 0673 1058 58 نزد بانک تجارت بنام خانم سمیرا واثقی بابت علی الحساب تنخواه به شرکت پایاصنعت هزینه های بارنامه های ورقهای فولاد مبارکه به شرکت پایا صنعت و به سایت</t>
  </si>
  <si>
    <t>حواله ساتنا به حساب IR09 0180 0000 0000 0352 5514 73 نزد بانک تجارت به نام ریخته گری برناگداز بابت تسویه کامل ف 78 خرید تجهیزات طی درخواست خرید 9850220 و 9850227 و 9850226 طبق ق ADSH-P-CO-EL-002 جهت سیستم حفاظت کاتدیک پس از کسر پیش پرداخت</t>
  </si>
  <si>
    <t xml:space="preserve">حواله ساتنا به حسابIR24 0180 0000 0000 0023 1276 60  نزد بانک تجارت به نام شرکت مهندسین مشاور پی کاو بابت پرداخت کامل صورت وضعیت تائید شده شماره 11 مطالعات ژئوتکنیک طبق قرارداد ش ADISH-E-CO_CV-005 </t>
  </si>
  <si>
    <t>حواله ساتنا به حساب IR48 0180 0000 0000 0083 4920 74  نزد بانک تجارت شعبه توانیر کد 832 به نام شرکت لوید آلمان کیش بابت تسویه ف 0310-20 و 0309-20 از ق ADSH-E-CO-GE-006</t>
  </si>
  <si>
    <t>حواله ساتنا به حساب IR57 0560 0828 0400 0400 4490 02  نزد بانک سامان به نام مهردرمان نیکان بابت تسویه صورتحساب تست کرونا پرسنل طبق لیست پیوست</t>
  </si>
  <si>
    <t>1399/04/01</t>
  </si>
  <si>
    <t xml:space="preserve">
واریز به حساب  1 - 2688597 - 800 - 215 به نام آقای محسن خستو به شماره ملی 4839597987  بابت شارژ تنخواه دفتر مرکزی (اسناد هزینه تنخواه ش 36)</t>
  </si>
  <si>
    <t>حواله ساتنا به حساب IR55 0170 0000 0010 3020 7700 09 نزد بانک ملی بنام شرکت تولیدی و بازرگانی نیاشیمی بابت پ ف 990234 خرید نوارمشکی و پرایمر COLDWAP مورد نیاز لوله های سایت آیتم 3.4.5</t>
  </si>
  <si>
    <t>1399/04/02</t>
  </si>
  <si>
    <t>حواله ساتنا به حساب IR66 0170 0000 0010 7398 6970 01 نزد بانک ملی بنام شرکت شاهو ترابر پارس بابت هزینه ترخیص و تشریفات گمرکی بارنامه  RL2001TJBAB18 ترخیص مرحله 2 شرکت راژان طی صورتحساب 1226</t>
  </si>
  <si>
    <t>1399/04/08</t>
  </si>
  <si>
    <t>حواله ساتنا به حساب IR56 0120 0000 0000 5660 0800 38 نزد بانک ملت بنام آقای وحید نجاری با کد ملی 0072382831 بابت تسویه کامل ف 25 خرید میلگرد 20 و 25 از آهن اسکندی</t>
  </si>
  <si>
    <t>حواله ساتنا به حساب IR18 0120 0000 0000 5689 6805 63 نزد بانک ملت شعبه خیابان بزرگمهر به نام  شرکت مهندسی ماه تابان رایانه جهت پرداخت فاکتور 17829 و 17830 مورخ 1399/03/21 بابت خرید 2 عدد مانیتور و 1 عدد رم طبق درخواست های تائید شده</t>
  </si>
  <si>
    <t>1399/04/15</t>
  </si>
  <si>
    <t>حواله ساتنا به حساب IR32 0180 0000 0000 1418 0880 08 نزد بانک تجارت بنام شرکت تولیدی پی ای اس بابت تسویه اینویس 1520-98  جهت خرید لوله و اتصالات پلی اتیلن</t>
  </si>
  <si>
    <t xml:space="preserve">
واریز به حساب  1 - 2688597 - 800 - 215 به نام آقای محسن خستو به شماره ملی 4839597987  بابت شارژ تنخواه دفتر مرکزی (اسناد هزینه تنخواه ش 37.38.39)</t>
  </si>
  <si>
    <t>1399/04/03</t>
  </si>
  <si>
    <t>حواله ساتنا به حساب IR66 0170 0000 0011 0246 8110 01 نزد بانک ملی بنام شرکت فرشته اقیانوس آبی بابت هزینه دموراژ ترخیص بارنامه BND/2004/2/2  بابت ترخیص centrifugal pump roodhart طی ف 99000024</t>
  </si>
  <si>
    <t xml:space="preserve">حواله ساتنا به حساب IR10 0690 0108 8400 00995 3520 01 نزد بانک ایران زمین شعبه افریقا به نام موسسه حسابرسی و خدمات مالی کوشا منش بابت پیش پرداخت قرارداد حسابرسی شماره 99/1444/2 مورخ 1399/03/07 </t>
  </si>
  <si>
    <t>1399/04/04</t>
  </si>
  <si>
    <t>حواله ساتنا به حساب IR900560081681001066586001   نزد بانک سامان شعبه اریکه ایرانیان کد 816  به نام شرکت آینده نگاران جهت خرید آنتی ویروس سرور طی پ ف 113997</t>
  </si>
  <si>
    <t>حواله ساتنا به حساب IR77 0170 0000 0022 4764 0310 06 نزد بانک ملی بنام آقای مسلم صفری بابت پرداخت به سازمان منطقه ویژه اقتصادی انرژی پارس جهت تسویه صورتحساب 9901464 عوارض ورودی محموله دوم راژان-مخازن کروی</t>
  </si>
  <si>
    <t>حواله ساتنا به حساب IR21 0120 0200 0000 4421 5120 85 نزد بانک ملت به نام شرکت خدمات مسافرت هوایی پرتو پرواز فردا بابت صورتحساب 58</t>
  </si>
  <si>
    <t>پرداخت هزینه های مهندسی خردادماه 1399 کارکنان شرکت پالایش میعانات گازی آدیش جنوبی طبق لیست پیوست</t>
  </si>
  <si>
    <t>پرداخت حقوق و دستمزد خرداد ماه 1399 کارکنان شرکت پالایش میعانات گازی آدیش جنوبی طبق لیست پیوست</t>
  </si>
  <si>
    <t>واریز به حساب 1-140372-843-110 به نام آقای محسن صفائی فراهانی بابت عودت بدهی(مابه التفاوت خرداد 1399)</t>
  </si>
  <si>
    <t>1399/04/09</t>
  </si>
  <si>
    <t>حواله ساتنا به حساب IR55 0170 0000 0010 3020 7700 09 نزد بانک ملی بنام شرکت تولیدی و بازرگانی نیاشیمی بابت الباقی پ ف 990234 خرید 10 لیتر پرایمر مورد نیاز لوله های سایت آیتم 3.4.5</t>
  </si>
  <si>
    <t xml:space="preserve">
واریز به حساب  1 - 2688597 - 800 - 215 به نام آقای محسن خستو به شماره ملی 4839597987  بابت شارژ تنخواه دفتر مرکزی (اسناد هزینه تنخواه ش 40.41.42)</t>
  </si>
  <si>
    <t>واریزی از شرکت سنگ آهن رباط بابت افزایش سرمایه</t>
  </si>
  <si>
    <t xml:space="preserve">واریزی آریاترابر البرز بابت عودت مازاد سپرده پس از کسر دوموراژ بارنامه HDM126WESL9678 ترخیص 3 کانتینر TUBE AIRCOOLER پارت20فاتح </t>
  </si>
  <si>
    <t>واریز سود علی الحساب از 1399/03/10 تا 1399/04/09</t>
  </si>
  <si>
    <t>1399/04/10</t>
  </si>
  <si>
    <t>1399/04/11</t>
  </si>
  <si>
    <t xml:space="preserve">حواله ساتنا به حساب IR74 0130 1000 0000 0012 9000 00 نزد بانک رفاه شعبه قرنی کد 1328 بنام بیمه آسیا بابت هزینه بیمه نامه آتش سوزی ش 2151037/99/28 از 1399/04/02 تا 1400/04/02 </t>
  </si>
  <si>
    <t>حواله ساتنا به حساب IR74  0120  0000  0000  4428  1696  26 نزد بانک ملت شعبه لامرد به نام شرکت حمل و نقل کهورک بار لامرد بابت خرید سیمان به همراه حمل جهت سایت کنگان طی صورتحساب 99-020 مورخ 1399/04/03 خرید 1000 تن سیمان فله تیپ2 طبق درخواست 041 سایت</t>
  </si>
  <si>
    <t>1399/04/18</t>
  </si>
  <si>
    <t>حواله ساتنا به حساب IR56 0120 0000 0000 5660 0800 38 نزد بانک ملت بنام آقای وحید نجاری با کد ملی 0072382831 بابت تسویه کامل ف 26 خرید میلگرد 10 و 12 و 16 و 20 و 25 از آهن اسکندی پس از کسر اقلام ارسالی در فاکتور 25</t>
  </si>
  <si>
    <t xml:space="preserve">حواله ساتنا به حساب IR54 0170 0000 0010 0175 9290 01 نزد بانک ملی به نام شرکت گلنور بابت 50% پیش پرداخت خرید چراغ روشنایی و سوکت های صنعتی پروژه طبق اینویس cp-99-115-rev01 و cp-99-117-rev01 </t>
  </si>
  <si>
    <t>حواله ساتنا به حساب IR79 0170 0000 0010 6023 1320 07 نزد بانک ملی بنام شرکت برنا الکترونیک بابت تسویه کامل ف 6026.2027.6028.6029.6030 خرید تجهیزات بالک پس از کسر 60% پیش پرداخت</t>
  </si>
  <si>
    <t>1399/04/14</t>
  </si>
  <si>
    <t>حواله ساتنا به حساب IR85 0170 0000 0011 2631 7160 00 نزد بانک ملی بنام شرکت حمل و نقل بین المللی راه نیک ترابر بابت هزینه های ترانزیت محموله اول پمپهای ROODHART</t>
  </si>
  <si>
    <t>حواله ساتنا به حساب IR79 0170 0000 0010 6023 1320 07 نزد بانک ملی بنام شرکت برنا الکترونیک بابت تسویه کامل ف 6036 خرید تجهیزات ارتینگ ساختمان انبار(MRQ-8073)</t>
  </si>
  <si>
    <t xml:space="preserve">
واریز به حساب  1 - 2688597 - 800 - 215 به نام آقای محسن خستو به شماره ملی 4839597987  بابت شارژ تنخواه جابجایی دفتر مرکزی </t>
  </si>
  <si>
    <t>1399/04/16</t>
  </si>
  <si>
    <t xml:space="preserve">واریز به حساب IR 6401 8000 0000 0002 3511 7142 به نام رستم فرودیان به کد ملی 0036649368 بابت فاکتور 1399/04/14 خرید دستگاه کپی از خدمات ماشین های اداری رامتین </t>
  </si>
  <si>
    <t>حواله ساتنا به حساب IR60  0120  0200  0000  1714  4834  95 نزد بانک ملت به نام آقای عباس رحیمی بابت فاکتور شماره 102-9904  P.B.X جهت خرید سانترال و کارت جهت ساختمان جدید</t>
  </si>
  <si>
    <t xml:space="preserve">
واریز به حساب  1 - 2688597 - 800 - 215 به نام آقای محسن خستو به شماره ملی 4839597987  بابت شارژ تنخواه دفتر مرکزی (اسناد هزینه تنخواه ش 43.44.45)</t>
  </si>
  <si>
    <t>واریزی آقای صفایی بابت افزایش سرمایه</t>
  </si>
  <si>
    <t>حواله ساتنا به شماره IR21 0170 0000 0010 0765 8670 08 بنام شرکت آماک کوشا بابت تسویه پ ف 789425 بابت خرید ups10kva ساختمان جدید</t>
  </si>
  <si>
    <t>1399/04/17</t>
  </si>
  <si>
    <t>حواله ساتنا به شماره IR15 0120 0000 0000 8254 1235 49  بنام شرکت آدلی آرابنا بابت تسویه پ ف 1514 خرید پروفیل و پانل گچی و ... جهت ساختمان جدید</t>
  </si>
  <si>
    <t>حواله ساتنا به حساب IR18 0120 0000 0000 5689 6805 63 نزد بانک ملت شعبه خیابان بزرگمهر به نام  شرکت مهندسی ماه تابان رایانه جهت پرداخت فاکتور 18071 مورخ 1399/04/16 بابت خرید 2 دستگاه سیستم کامپیوتر بخش برنامه ریزی و کنترل پروژه</t>
  </si>
  <si>
    <t>حواله ساتنا به حساب IR74 0530 0000 0010 0902 4266 01 نزد بانک کارآفرین به نام شرکت اطمینان تجارت خبره بابت تسویه پ ف 10039 خرید نبشی 10 آوانگان</t>
  </si>
  <si>
    <t>حواله ساتنا به حساب شماره IR47 0120 0100 0000 1938 1638 51 نزد بانک ملت بنام آقای سیدحسین میری با کدملی 0519843150 بابت 80% پیش پرداخت پ ف 99/4301 خرید پارتیشن از صنایع چوب میری ساختمان جدید</t>
  </si>
  <si>
    <t>حواله ساتنا به حساب شماره IR18 0220 1719 0111 4619 5460 01 نزد بانک توسعه تعاون به نام شرکت ظریف صنعت پیشرو بابت 50% پ پ طبف پ ف 1399/0072 خرید سینی کابل ساختمان انبار</t>
  </si>
  <si>
    <t>حواله ساتنا به حساب IR03 0120 0000 0000 0152 5609 63 نزد بانک ملت به نام شرکت دنیای پردازش بابت پ فاکتور شماره 46130/1 مورخ 1399/04/16 بابت تمدید پشتیبانی نرم افزار حضور و غیاب و گردش کار</t>
  </si>
  <si>
    <t xml:space="preserve">واریزی آقای صحرائیان </t>
  </si>
  <si>
    <t>1399/04/19</t>
  </si>
  <si>
    <t>1399/04/21</t>
  </si>
  <si>
    <t>حواله ساتنا به حساب IR70 0550 0156 7010 9000 1000 01 نزد بانک اقتصادنوین بنام آقای محمدرضارودپیش زاده فومنی بابت پرداخت تنخواه پ شایاصنعت</t>
  </si>
  <si>
    <t>1399/04/22</t>
  </si>
  <si>
    <t xml:space="preserve">
واریز به حساب  1 - 2688597 - 800 - 215 به نام آقای محسن خستو به شماره ملی 4839597987  بابت شارژ تنخواه دفتر مرکزی -جهت پرداخت هزینه بارنامه های برگشت کانتینر محموله دوم HEATER KTI</t>
  </si>
  <si>
    <t>حواله ساتنا به حساب شماره IR25 0170 0000 0020 1012 7650 08 نزد بانک ملی بنام شرکت تابش تابلو بابت 70% پ پ پ ف 99/پ/772 خرید تابلو برق دیواری ساختمان انبار</t>
  </si>
  <si>
    <t>1399/04/23</t>
  </si>
  <si>
    <t xml:space="preserve">حواله ساتنا به حسابIR24 0180 0000 0000 0023 1276 60  نزد بانک تجارت به نام شرکت مهندسین مشاور پی کاو بابت پرداخت کامل صورت وضعیت تائید شده شماره 12 مطالعات ژئوتکنیک طبق قرارداد ش ADISH-E-CO_CV-005 </t>
  </si>
  <si>
    <t xml:space="preserve">
واریز به حساب  1 - 2688597 - 800 - 215 به نام آقای محسن خستو به شماره ملی 4839597987  بابت شارژ تنخواه دفتر مرکزی (اسناد هزینه تنخواه ش 46.47.48)</t>
  </si>
  <si>
    <t>واریزی از صندوق آنیه نوین</t>
  </si>
  <si>
    <t>1399/04/24</t>
  </si>
  <si>
    <t>واریزی سنگ آهن رباط مرکزی بابت افزایش سرمایه</t>
  </si>
  <si>
    <t>1399/04/25</t>
  </si>
  <si>
    <t>حواله ساتنا به حساب IR83 0180 0000 0000 0673 6772 74 نزد بانک تجارت بنام شرکت پایاصنعت تیران بابت تسویه صورتحساب ش 159 برش ورق</t>
  </si>
  <si>
    <t>حواله ساتنا به حساب IR95 0170 0000 0010 6641 5330 06 نزد بانک ملی به نام شرکت بین المللی ساروج بوشهر بابت تسویه پ ف 99/3/4066 خرید سیمان فله تیپ2</t>
  </si>
  <si>
    <t>واریز به حساب 1-3559141-850-155 نزد بانک اقتصادنوین بنام شرکت طلوع انرژی بابت تسویه  کامل هزینه پروژه نیروگاه 38/85 مگاواتی پالایشگاه آدیش(بابت ماموریت استانبول) طی صورتحساب TEC-ADISH-0004</t>
  </si>
  <si>
    <t>حواله ساتنا به حساب IR86 0600 3001 7000 2037 5070 01 نزد بانک مهر به نام خانم زینب قدرتی پور با کد ملی 0068313365 بابت تسویه ف 29/210499 خرید کابینت سلف ساختمان جدید از فروشگاه رویال</t>
  </si>
  <si>
    <t>حواله ساتنا به حساب IR18 0120 0000 0000 5689 6805 63 نزد بانک ملت شعبه خیابان بزرگمهر به نام  شرکت مهندسی ماه تابان رایانه جهت پرداخت فاکتور 18117 مورخ 1399/04/22 بابت خرید 2عدد رم آقای عقیلی</t>
  </si>
  <si>
    <t>1399/04/29</t>
  </si>
  <si>
    <t xml:space="preserve">حواله ساتنا به حساب شماره IR82 0120 0000 0000 8375 6509 27 نزد بانک ملت بنام شرکت پالایش میعانات گازی آدیش جنوبی بابت تامین موجودی جهت حق بیمه و مالیات خرداد ماه 1398 </t>
  </si>
  <si>
    <t>واریز به حساب 1-6401195-800-215 نزد بانک اقتصادنوین بنام آقای شادفر صارمی بابت تسویه حساب کامل بازخرید مرخصی از 1398/09/10 تا 1398/12/29</t>
  </si>
  <si>
    <t>1399/04/30</t>
  </si>
  <si>
    <t>حواله ساتنا به حساب IR73 0170 0000 0011 1371 6220 02  نزد بانک ملی به نام شرکت کاریز هیدرو سازه گیل بابت تسویه صورتحساب 1483 خرید ابرروان کننده و کاهنده شدید آب بتن  طبق درخواست 046</t>
  </si>
  <si>
    <t>واریزی از شرکت تناوب بابت افزایش سرمایه</t>
  </si>
  <si>
    <t>حواله ساتنا به شماره IR21 0170 0000 0010 0765 8670 08 بنام شرکت آماک کوشا بابت تسویه پ ف HA-1-7725 بابت خرید تابلو برق ups10kva ساختمان جدید</t>
  </si>
  <si>
    <t>واریزی سهامداران</t>
  </si>
  <si>
    <t>1399/04/31</t>
  </si>
  <si>
    <t>واریز به حساب 1-4425002-800-215 نزد بانک اقتصادنوین بنام آقای عباس اعتمادی افشار با کد ملی 2802361597 بابت تسویه صورتحساب ش 6 قرارداد 18998249 مشاوره و کمیسون مشاوراملاک پارسیان</t>
  </si>
  <si>
    <t>1399/05/01</t>
  </si>
  <si>
    <t>حواله ساتنا به حساب IR90 0120 0200 0000 5826 5239 30 نزد بانک ملت بنام آقای مجید رازی بابت تسویه پ ف 09ص156 مورخ 1399/04/31 بابت خرید میزنهارخوری و میز اتاق جلسات ساختمان جدید</t>
  </si>
  <si>
    <t>حواله ساتنا به حساب IR90 0560 081 68100 1066 5860 01   نزد بانک سامان شعبه اریکه ایرانیان کد 816  به نام شرکت آینده نگاران جهت خرید سرویس برای امن سازی و راه اندازی سیستم های تحت وب شرکت طی پ ف 114142-0-پ99</t>
  </si>
  <si>
    <t>حواله ساتنا به حساب IR27 0180 0000 0000 0353 0509 90   نزد بانک تجارت بنام شرکت صنعتی آما بابت خرید الکترود طبق پ ف 99-ت/2213-1 مورخ 1399/04/31</t>
  </si>
  <si>
    <t>1399/05/03</t>
  </si>
  <si>
    <t>حواله ساتنا به حساب IR97 0570 0404 1101 4239 4470 01   نزد بانک پاسارگاد به نام شرکت صنعتی صافیاد بابت 50% پ پ ق ADSH-P-PO-GE-020 بابت cooling water system پس از کسر پیش پرداخت پرداخت شده طی چ ش 217991 مورخ 1398/08/29</t>
  </si>
  <si>
    <t>1399/05/04</t>
  </si>
  <si>
    <t>حواله ساتنا به حساب IR35 0120 0000 0000 0013 5569 62 نزد بانک ملت بنام شرکت تولیدی و صنعتی سیم و کابل مغان بابت خرید سیم و کابل طی ف 35571 جهت ساختمان warehouse</t>
  </si>
  <si>
    <t>حواله ساتنا به حساب IR21 0120 0200 0000 4421 5120 85 نزد بانک ملت به نام شرکت خدمات مسافرت هوایی پرتو پرواز فردا بابت صورتحساب 59</t>
  </si>
  <si>
    <t>حواله ساتنا به حساب شماره IR47 0120 0100 0000 1938 1638 51 نزد بانک ملت بنام آقای سیدحسین میری با کدملی 0519843150 بابت الباقی ف 4308 (پ ف 99/4301 )خرید پارتیشن از صنایع چوب میری ساختمان جدید</t>
  </si>
  <si>
    <t>حواله ساتنا به حساب IR76 0120 0200 0000 5578 5986 81 نزد بانک ملت بنام فرید کرمی با کدملی 6109971685 بابت تسویه ف 120 خرید کانکس 12 متری از بازرگانی کالای آهن و چوب کرمی</t>
  </si>
  <si>
    <t>1399/05/05</t>
  </si>
  <si>
    <t xml:space="preserve">
واریز به حساب  1 - 2688597 - 800 - 215 به نام آقای محسن خستو به شماره ملی 4839597987  بابت شارژ تنخواه جابجایی دفتر مرکزی بابت خرید گوشی بیسیم+فکس+صندلی نهارخوری طبق درخواست تائید شده</t>
  </si>
  <si>
    <t>حواله ساتنا به حساب IR81 0150 0000 0178 5301 0158 09 نزد بانک سپه بنام آقای منصور کاظمیان مهابادی با کد ملی 1189455854 بابت تسویه پ ف TKP-232/05 خرید مش از تامین کالای پارسیان</t>
  </si>
  <si>
    <t>1399/05/06</t>
  </si>
  <si>
    <t>حواله ساتنا به حساب IR66 0170 0000 0010 7398 6970 01 نزد بانک ملی بنام شرکت شاهو ترابر پارس بابت هزینه حق توقف ترخیص و تشریفات گمرکی بارنامه MSNA86356  ترخیص مرحله 2 HEATER KTI طی ف 1273 پس از کسر سپرده نقدی</t>
  </si>
  <si>
    <t>1399/05/07</t>
  </si>
  <si>
    <t>حواله ساتنا به حساب IR74  0120  0000  0000  4428  1696  26 نزد بانک ملت شعبه لامرد به نام شرکت حمل و نقل کهورک بار لامرد بابت خرید سیمان به همراه حمل جهت سایت کنگان طی صورتحساب 99-030 مورخ 1399/04/29 خرید 1000 تن سیمان فله تیپ2 طبق درخواست 053 سایت</t>
  </si>
  <si>
    <t>1399/05/09</t>
  </si>
  <si>
    <t>حواله ساتنا به حساب IR20 0600 3001 7000 8745 8920 01 نزد بانک قرض الحسنه مهر ایران بنام آقای سیدوحید موسوی راد بابت تسویه پ ف 040599-30 مورخ 1399/04/31 جابجایی شیشه میرال و درب کشویی دولنگه ساختمان جدید</t>
  </si>
  <si>
    <t>حواله ساتنا به حساب IR92 0540 1091 4700 0892 5526 02 نزد بانک پارسیان به نام بنیاد علوم کاربردی رازی بابت تسویه صورتحساب 10004.5.7.9.10.12.13.14.15.16.17.18.19.20.21.22 بابت هزینه آزمایشگاه نمونه لوله های UG واحد CDU  و LPG</t>
  </si>
  <si>
    <t>1399/05/08</t>
  </si>
  <si>
    <t>حواله ساتنا به حساب IR56 0120 0000 0000 5660 0800 38 نزد بانک ملت بنام آقای وحید نجاری با کد ملی 0072382831 بابت تسویه کامل ف 29 خرید میلگرد 12.16.20.25.20.25 از آهن اسکندی</t>
  </si>
  <si>
    <t>حواله ساتنا به حساب IR48 0180 0000 0000 0083 4920 74  نزد بانک تجارت شعبه توانیر کد 832 به نام شرکت لوید آلمان کیش بابت تسویه ف 0463-20 از ق ADSH-E-CO-GE-006 پس از کسر مازاد پرداختی</t>
  </si>
  <si>
    <t>1399/05/11</t>
  </si>
  <si>
    <t>پرداخت حقوق و دستمزد تیر ماه 1399 کارکنان شرکت پالایش میعانات گازی آدیش جنوبی طبق لیست پیوست</t>
  </si>
  <si>
    <t>پرداخت هزینه های مهندسی تیرماه 1399 کارکنان شرکت پالایش میعانات گازی آدیش جنوبی طبق لیست پیوست</t>
  </si>
  <si>
    <t>واریز به حساب 1-140372-843-110 به نام آقای محسن صفائی فراهانی بابت عودت بدهی(مابه التفاوت  تیر 1399)</t>
  </si>
  <si>
    <t>حواله ساتنا به حساب IR23 0180 0000 0000 0012 9212 41 نرد بانک تجارت بنام نیکان تک ایرانیان بابت تسویه صورتحساب 6272  خرید ANCHOR BOLT پس از کسر ارزش افزوده</t>
  </si>
  <si>
    <t>حواله ساتنا به حساب شماره IR47 0120 0100 0000 1938 1638 51 نزد بانک ملت بنام آقای سیدحسین میری با کدملی 0519843150 بابت تسویه صورتحساب 4309 خرید پروفیل و نبشی و ام دی اف پارتیشن از صنایع چوب میری ساختمان جدید</t>
  </si>
  <si>
    <t xml:space="preserve">
واریز به حساب  1 - 2688597 - 800 - 215 به نام آقای محسن خستو به شماره ملی 4839597987  بابت شارژ تنخواه دفتر مرکزی</t>
  </si>
  <si>
    <t xml:space="preserve">
واریز به حساب  1 - 2688597 - 800 - 215 به نام آقای محسن خستو به شماره ملی 4839597987  بابت شارژ تنخواه دفتر مرکزی(اسناد تنخواه68.69)</t>
  </si>
  <si>
    <t>1399/05/14</t>
  </si>
  <si>
    <t>واریزی آقای صحرائیان بابت افزایش سرمایه</t>
  </si>
  <si>
    <t>1399/05/12</t>
  </si>
  <si>
    <t>1399/05/15</t>
  </si>
  <si>
    <t>1399/05/21</t>
  </si>
  <si>
    <t>1399/05/22</t>
  </si>
  <si>
    <t>1399/05/16</t>
  </si>
  <si>
    <t>واریزی سود صندوق آتیه نوین</t>
  </si>
  <si>
    <t>واریز سود علی الحساب از 1399/04/10 تا 1399/05/09</t>
  </si>
  <si>
    <t>1399/05/10</t>
  </si>
  <si>
    <t>1399/05/25</t>
  </si>
  <si>
    <t>حواله ساتنا به حساب شماره IR82 0120 0000 0000 8375 6509 27 نزد بانک ملت بنام شرکت پالایش میعانات گازی آدیش جنوبی بابت تامین موجودی</t>
  </si>
  <si>
    <t>1399/05/26</t>
  </si>
  <si>
    <t>1399/05/27</t>
  </si>
  <si>
    <t>1399/05/28</t>
  </si>
  <si>
    <t>حواله ساتنا به حساب IR56 0120 0000 0000 5660 0800 38 نزد بانک ملت بنام آقای وحید نجاری با کد ملی 0072382831 بابت تسویه کامل ف 30 خرید میلگرد 12.20.25 از آهن اسکندی</t>
  </si>
  <si>
    <t>1399/05/29</t>
  </si>
  <si>
    <t>واریزی شرکت سنگ آهن رباط بابت افزایش سرمایه</t>
  </si>
  <si>
    <t>واریزی جمعی سهامداران</t>
  </si>
  <si>
    <t>1399/06/01</t>
  </si>
  <si>
    <t xml:space="preserve">
واریز به حساب  1 - 2688597 - 800 - 215 به نام آقای محسن خستو به شماره ملی 4839597987  بابت شارژ تنخواه دفتر مرکزی(اسناد تنخواه75.76.77)</t>
  </si>
  <si>
    <t>واریز به شماره حساب  2110100716003  نزد بانک ملی شعبه میرداماد کد 64 به نام اداره کل امور مالیاتی-درآمد مستغلات اجاره املاک جهت پرداخت مالیات اجاره تیر ماه 1399، واحد 400222 کلاسه 303(قبض154590977)</t>
  </si>
  <si>
    <t>حواله ساتنا به حساب IR40 0190 0000 0011 0905 3550 08 نزد بانک صادرات بنام شرکت هماهنگ بار پارس بابت تسویه صورتحساب ش A19218 بابت بارنامه FAMLTRH2005005TRN ترانزیت محموله 3 HEATER KTI</t>
  </si>
  <si>
    <t>1399/06/02</t>
  </si>
  <si>
    <t>حواله ساتنا به حساب IR73 0170 0000 0011 1371 6220 02  نزد بانک ملی به نام شرکت کاریز هیدرو سازه گیل بابت تسویه صورتحساب 1548 خرید ابرروان کننده و کاهنده شدید آب بتن</t>
  </si>
  <si>
    <t>حواله ساتنا به حساب IR19 0120 0000 0000 5235 6014 29 نزد بانک ملت بنام آقای امید عباسی با کد ملی 3579852272 بابت تسویه ف 1002136و1002153 بابت انبارداری محموله heater kti3 و ف 1002014 و 1002012 بابت انبارداری محموله heater kti2 از شرکت روشن جام یلدا</t>
  </si>
  <si>
    <t>حواله ساتنا به حساب IR05 0190 0000 0011 3513 9940 01 بنام آقای محسن امانی به کد ملی 0076127931 بابت تسویه ف 0474 تهویه بهاران بابت کپسول گاز،موتور فن،شیربرقی،لوله عایق</t>
  </si>
  <si>
    <t>حواله ساتنا به حساب IR90 0170 0000 0010 5751 1020 02 نزد بانک ملی بنام شرکت نارفوم کار بابت 50% پ پ خرید تجهیزات کپسول آتش نشانی ساختمان انبار طبق MTO-5710-01</t>
  </si>
  <si>
    <t>1399/06/03</t>
  </si>
  <si>
    <t>حواله ساتنا به حساب IR10 0690 0108 8400 0995 3520 01 نزد بانک ایران زمین بنام موسسه حسابرسی و خدمات مالی کوشامنش بابت 75% پ پ ق 99/1509/2 حسابرسی افزایش سرمایه</t>
  </si>
  <si>
    <t>حواله ساتنا به حساب IR60  0120  0200  0000  1714  4834  95 نزد بانک ملت به نام آقای عباس رحیمی بابت فاکتور شماره 9905-102  P.B.X جهت خرید گوشی تلفن و سیم</t>
  </si>
  <si>
    <t>حواله ساتنا به حساب IR27 0120 0000 0000 4794 7826 51 نزد بانک ملت شعبه پیچ شمیران به نام شرکت مهندسی پاژ پرداز سامانه جهت پرداخت فاکتور 1046 خرید تجهیزات شبکه ساختمان جدید</t>
  </si>
  <si>
    <t xml:space="preserve">
واریز به حساب  1 - 2688597 - 800 - 215 به نام آقای محسن خستو به شماره ملی 4839597987  بابت شارژ تنخواه ایشان جهت واریز به شماره کارت 6037991394348498 بنام آقای حمیدرضا بداخشان با کدملی 1815373318 بابت تسویه هزینه های سرویس بهداشتی و تخریب دیوار ساختمان جدید طبق صورتحساب پیوست</t>
  </si>
  <si>
    <t>1399/06/04</t>
  </si>
  <si>
    <t>حواله ساتنا به حساب IR56 0120 0000 0000 5660 0800 38 نزد بانک ملت بنام آقای وحید نجاری با کد ملی 0072382831 بابت تسویه کامل ف 32 خرید میلگرد 12 از آهن اسکندی</t>
  </si>
  <si>
    <t>حواله ساتنا به حساب IR90 0120 0200 0000 5826 5239 30 نزد بانک ملت بنام آقای مجید رازی بابت تسویه ف 168ص14مورخ 1399/06/03 بابت خرید میز کنفرانس اتاق جلسات طبقه همکف ساختمان جدید</t>
  </si>
  <si>
    <t>حواله ساتنا به شماره IR56 0100 0040 0102 5604 0268 39 نزد بانک مرکزی با شناسه پرداخت 333025673292780813901000000000 بابت 40% پ پ هزینه برقراری انشعاب گاز طی نامه ش 6788/200/34ک</t>
  </si>
  <si>
    <t>حواله ساتنا به شماره IR55 0190 0000 0010 1966 3630 00 نزد بانک صادرات بنام شرکت مهندسی مشاوران شیراز انرژی بابت 25% پ پ طبق بند 2 ماده 4 ق ADSH-E-CO-GE-009 در خصوص انجام مطالعات طرح اتصال به شبکه نیروگاه پ آدیش</t>
  </si>
  <si>
    <t>حواله ساتنا به حساب IR40 0190 0000 0011 0905 3550 08 نزد بانک صادرات بنام شرکت هماهنگ بار پارس بابت تسویه صورتحساب ش A18642 بابت بارنامه FAMLTRH2005005TRN ترانزیت محموله 3 HEATER KTI</t>
  </si>
  <si>
    <t>حواله ساتنا به حساب شماره IR18 0220 1719 0111 4619 5460 01 نزد بانک توسعه تعاون به نام شرکت ظریف صنعت پیشرو بابت 50% الباقی ف پ ف 1399/0072 خرید سینی کابل ساختمان انبار</t>
  </si>
  <si>
    <t>1399/06/05</t>
  </si>
  <si>
    <t>حواله ساتنا به حساب IR21 0120 0200 0000 4421 5120 85 نزد بانک ملت به نام شرکت خدمات مسافرت هوایی پرتو پرواز فردا بابت صورتحساب 61</t>
  </si>
  <si>
    <t>حواله ساتنا به حساب IR48 0180 0000 0000 0083 4920 74  نزد بانک تجارت شعبه توانیر کد 832 به نام شرکت لوید آلمان کیش بابت تسویه ف 0393و0464و0394-20 از ق ADSH-E-CO-GE-006 پس از کسر کسورات قانونی</t>
  </si>
  <si>
    <t>حواله ساتنا به حساب IR56 0120 0000 0000 5660 0800 38 نزد بانک ملت بنام آقای وحید نجاری با کد ملی 0072382831 بابت تسویه کامل ف 31 خرید میلگرد 16.20.25 از آهن اسکندی</t>
  </si>
  <si>
    <t>حواله ساتنا به حساب IR35 0120 0000 0000 0003 3635 23  نزد بانک ملت به نام آقای عبداله بحرانی جهت تسویه با شرکت شن و ماسه بهارجاشک جهت تسویه فاکتور ف 43 و علی الحساب ف 61 خرید شن و ماسه سایت</t>
  </si>
  <si>
    <t>حواله ساتنا به حساب IR69 0120 0000 0000 8361 1973 85  نزد بانک ملت بنام آقای مسلم صفری بابت پرداخت ص و ش 5 بارنامه های حمل OVG-4047/20 و کوتاژ 257429 بابت حمل heater kti 2</t>
  </si>
  <si>
    <t>1399/06/10</t>
  </si>
  <si>
    <t xml:space="preserve">
واریز به حساب  1 - 2688597 - 800 - 215 به نام آقای محسن خستو به شماره ملی 4839597987  بابت شارژ تنخواه دفتر مرکزی(اسناد تنخواه78)</t>
  </si>
  <si>
    <t>1399/06/11</t>
  </si>
  <si>
    <t>حواله ساتنا به حساب IR83 0180 0000 0000 0673 6772 74 نزد بانک تجارت بنام شرکت پایاصنعت تیران بابت تسویه صورتحساب ش 176 برش ورق</t>
  </si>
  <si>
    <t>1399/06/12</t>
  </si>
  <si>
    <t>حواله ساتنا به حساب IR54 0150 0000 0159 6301 4207 12 نزد بانک سپه بنام آقای حسینعلی حجاری زاده بابت  اجاره 1399/05/15 تا 1399/06/14 6 دانگ ساختمان اداری پلاک ثبتی فرعی شماره 2693 از پلاک ثبتی اصلی 3381 به مساحت 1210 مترمربع طبق قرارداد 18998249</t>
  </si>
  <si>
    <t>حواله ساتنا به حساب IR95 0170 0000 0010 6641 5330 06 نزد بانک ملی به نام شرکت بین المللی ساروج بوشهر بابت علی الحساب خرید سیمان فله تیپ2 طی درخواست 060</t>
  </si>
  <si>
    <t>1399/06/15</t>
  </si>
  <si>
    <t xml:space="preserve">
واریز به حساب  1 - 2688597 - 800 - 215 به نام آقای محسن خستو به شماره ملی 4839597987  بابت شارژ تنخواه دفتر مرکزی(اسناد تنخواه79.80)</t>
  </si>
  <si>
    <t>پرداخت حقوق و دستمزد مرداد ماه 1399 کارکنان شرکت پالایش میعانات گازی آدیش جنوبی طبق لیست پیوست</t>
  </si>
  <si>
    <t>پرداخت هزینه های مهندسی مردادماه 1399 کارکنان شرکت پالایش میعانات گازی آدیش جنوبی طبق لیست پیوست</t>
  </si>
  <si>
    <t>واریز به حساب 1-140372-843-110 به نام آقای محسن صفائی فراهانی بابت عودت بدهی(مابه التفاوت مرداد 1399)</t>
  </si>
  <si>
    <t>حواله ساتنا به حساب IR10 0690 0108 8400 00995 3520 01 نزد بانک ایران زمین شعبه افریقا به نام موسسه حسابرسی و خدمات مالی کوشا منش بابت تسویه کامل قرارداد حسابرسی شماره 99/1444/2 مورخ 1399/03/07 + تسویه کامل قرارداد افازیش سرمایه شماره 99/1509/2 مورخ 1399/05/19</t>
  </si>
  <si>
    <t>حواله ساتنا به حساب IR69 0120 0000 0000 8361 1973 85  نزد بانک ملت بنام آقای مسلم صفری بابت پرداخت ص و ش 1270-99 و 1271-99 بارنامه های حمل بابت محموله 1 رودهارت (6فقره بارنامه)</t>
  </si>
  <si>
    <t>حواله ساتنا به حساب IR 82 0130 1000 0000 0043 3971 41 نزد بانک رفاه کد 180 به نام شرکت ترسیم گران اندیشه پویا بابت تسویه فاکتورهای شماره 7045 خرید سیستم کامپیوتر و مانیتور و موس</t>
  </si>
  <si>
    <t>واریز سود علی الحساب از 1399/05/10 تا 1399/06/09</t>
  </si>
  <si>
    <t>1399/06/16</t>
  </si>
  <si>
    <t>هزینه کارمزد واریز حقوق مرداد ماه 1399</t>
  </si>
  <si>
    <t>1399/06/17</t>
  </si>
  <si>
    <t>حواله ساتنا به حساب شماره IR68 0630 1871 7591 7937 4340 01 نزد بانک انصار بنام شرکت رایکابنیس بابت تسویه ف 690 خرید آدابپتور دوربین طی دستور پیوست</t>
  </si>
  <si>
    <t>1399/06/18</t>
  </si>
  <si>
    <t xml:space="preserve">
واریز به حساب  1 - 2688597 - 800 - 215 به نام آقای محسن خستو به شماره ملی 4839597987  بابت شارژ تنخواه دفتر مرکزی(اسناد تنخواه81.82)</t>
  </si>
  <si>
    <t>واریز به شماره حساب  2110100716003  نزد بانک ملی شعبه میرداماد کد 64 به نام اداره کل امور مالیاتی-درآمد مستغلات اجاره املاک جهت پرداخت مالیات اجاره مرداد ماه 1399، واحد 400222 کلاسه 303(قبض112209480)</t>
  </si>
  <si>
    <t>1399/06/19</t>
  </si>
  <si>
    <t>حواله ساتنا به حساب IR73 0170 0000 0011 1371 6220 02  نزد بانک ملی به نام شرکت کاریز هیدرو سازه گیل بابت تسویه صورتحساب 1573 خرید ابرروان کننده و کاهنده شدید آب بتن طی درخواست 057</t>
  </si>
  <si>
    <t xml:space="preserve">حواله ساتنا به حسابIR24 0180 0000 0000 0023 1276 60  نزد بانک تجارت به نام شرکت مهندسین مشاور پی کاو بابت پرداخت کامل صورت وضعیت تائید شده شماره 14 مطالعات ژئوتکنیک طبق قرارداد ش ADISH-E-CO_CV-005 </t>
  </si>
  <si>
    <t>1399/06/22</t>
  </si>
  <si>
    <t>حواله ساتنا به حساب IR71 0170 0000 0036 0882 6280 02 نزد بانک ملی بنام آهن آلات نوین آرکا بابت 50%  الباقی سفارش اتصالات فنس سایت طی ف 1085</t>
  </si>
  <si>
    <t>1399/06/23</t>
  </si>
  <si>
    <t>حواله ساتنا به حساب IR35 0120 0000 0000 0003 3635 23  نزد بانک ملت به نام آقای عبداله بحرانی جهت تسویه با شرکت شن و ماسه بهارجاشک بابت تتمه فاکتور اردیبهشت و خرداد خرید شن و ماسه سایت</t>
  </si>
  <si>
    <t>1399/06/24</t>
  </si>
  <si>
    <t xml:space="preserve">
واریز به حساب  1 - 2688597 - 800 - 215 به نام آقای محسن خستو به شماره ملی 4839597987  بابت شارژ تنخواه دفتر مرکزی(اسناد تنخواه83.84.85)</t>
  </si>
  <si>
    <t>1399/06/25</t>
  </si>
  <si>
    <t>واریز به حساب شماره 1-4279342-800-103 نزد بانک اقتصادنوین بنام آقای علیرضا ارفعی به کدملی 0055321720 بابت تسویه کامل بازخرید مرخصی ایشان تا 1398/12/29</t>
  </si>
  <si>
    <t>واریز به حساب شماره 1-9000100-701-156نزد بانک اقتصادنوین بنام آقای محمدرضا رودپیش زاده فومنی به کدملی 0053582608 بابت تسویه کامل بازخرید سنوات-عیدی-مرخصی ایشان تا 1399/05/31</t>
  </si>
  <si>
    <t>واریز به حساب شماره 1-3973332-800-147 نزد بانک اقتصادنوین بنام خانم پروانه طاهرخانی به کدملی 0491388861 بابت تسویه کامل بازخرید سنوات-عیدی-مرخصی ایشان تا 1399/05/31</t>
  </si>
  <si>
    <t>حواله ساتنا به حساب IR 82 0130 1000 0000 0043 3971 41 نزد بانک رفاه کد 180 به نام شرکت ترسیم گران اندیشه پویا بابت تسویه فاکتورهای شماره 7196 خرید سیستم کامپیوتر و مانیتور و موس</t>
  </si>
  <si>
    <t>حواله ساتنا به حساب IR14 0570 0289 1000 1193 9420 03 نزد بانک پاسارگاد بنام آقایایان حسین لعل رحیمی-مرتضی مشفقی گیلانی-محمد روشنی بابت هزینه اعلامیه ورود ترخیص بارنامه miloex20070416 شرکت حمل و نقل روبینا بابت محموله 1 RMT</t>
  </si>
  <si>
    <t>حواله ساتنا به حساب IR14 0570 0289 1000 1193 9420 03 نزد بانک پاسارگاد بنام آقایان حسین لعل رحیمی-مرتضی مشفقی گیلانی-محمد روشنی بابت سپرده نقدی حق توقف اعلامیه ورود ترخیص بارنامه miloex20070416 شرکت حمل و نقل روبینا بابت محموله 1 RMT</t>
  </si>
  <si>
    <t>1399/06/29</t>
  </si>
  <si>
    <t>1399/06/30</t>
  </si>
  <si>
    <t xml:space="preserve">
واریز به حساب  1 - 2688597 - 800 - 215 به نام آقای محسن خستو به شماره ملی 4839597987  بابت شارژ تنخواه دفتر مرکزی(اسناد تنخواه86.87.88.89)</t>
  </si>
  <si>
    <t>1399/06/31</t>
  </si>
  <si>
    <t>حواله ساتنا به حساب IR21 0120 0200 0000 4421 5120 85 نزد بانک ملت به نام شرکت خدمات مسافرت هوایی پرتو پرواز فردا بابت صورتحساب 62</t>
  </si>
  <si>
    <t>1399/07/01</t>
  </si>
  <si>
    <t xml:space="preserve">
واریز به حساب  1 - 2688597 - 800 - 215 به نام آقای محسن خستو به شماره ملی 4839597987  بابت شارژ تنخواه دفتر مرکزی(اسناد تنخواه90.91.92)</t>
  </si>
  <si>
    <t>حواله ساتنا به حساب شماره IR25 0170 0000 0020 1012 7650 08 نزد بانک ملی بنام شرکت تابش تابلو بابت 30% الباقی پ ف 99/پ/772 خرید تابلو برق دیواری ساختمان انبار</t>
  </si>
  <si>
    <t>1399/07/06</t>
  </si>
  <si>
    <t>حواله ساتنا به حساب IR56 0120 0000 0000 5660 0800 38 نزد بانک ملت بنام آقای وحید نجاری با کد ملی 0072382831 بابت تسویه کامل ف 33 خرید میلگرد 10.12.22 از آهن اسکندی</t>
  </si>
  <si>
    <t>حواله ساتنا به حساب IR52 0170 0000 0011 3792 6770 02 نزد بانک ملی بنام شرکت فلزات نوین تجارت آزاد بابت پرداخت علی الحساب دوم سفارش درب آهنی انبار سایت طی پ ف 1168</t>
  </si>
  <si>
    <t>1399/07/07</t>
  </si>
  <si>
    <t>حواله ساتنا به حساب IR74  0120  0000  0000  4428  1696  26 نزد بانک ملت شعبه لامرد به نام شرکت حمل و نقل کهورک بار لامرد بابت خرید سیمان به همراه حمل جهت سایت کنگان طی صورتحساب 99-062 مورخ 1399/07/06 خرید 1000 تن سیمان فله تیپ2 طبق درخواست 071 سایت</t>
  </si>
  <si>
    <t>1399/07/08</t>
  </si>
  <si>
    <t xml:space="preserve">
واریز به حساب  1 - 2688597 - 800 - 215 به نام آقای محسن خستو به شماره ملی 4839597987  بابت شارژ تنخواه دفتر مرکزی(اسناد تنخواه95.96.97)</t>
  </si>
  <si>
    <t>حواله ساتنا به حساب شماره IR25 0170 0000 0020 1012 7650 08 نزد بانک ملی بنام شرکت تابش تابلو بابت 9% مالیات و عوارض ارزش افزوده  پ ف 99/پ/772 -ف 14665 خرید تابلو برق دیواری ساختمان انبار</t>
  </si>
  <si>
    <t>حواله ساتنا به حساب IR74 0130 1000 0000 0012 9000 00 نزد بانک رفاه شعبه قرنی کد 1328 بنام بیمه آسیا بابت هزینه بیمه نامه باربری شماره 1151037/99/72 بابت گشایس ال سی ریالی اریس اکسین باقیمانده ورقهای کورس 3 الی 9 مخزن 15B</t>
  </si>
  <si>
    <t>1399/07/09</t>
  </si>
  <si>
    <t>پرداخت حقوق و دستمزد شهریورماه 1399 کارکنان شرکت پالایش میعانات گازی آدیش جنوبی طبق لیست پیوست</t>
  </si>
  <si>
    <t>پرداخت هزینه های مهندسی شهریورماه 1399 کارکنان شرکت پالایش میعانات گازی آدیش جنوبی طبق لیست پیوست</t>
  </si>
  <si>
    <t>واریز به حساب 1-140372-843-110 به نام آقای محسن صفائی فراهانی بابت عودت بدهی(مابه التفاوت شهریور 1399)</t>
  </si>
  <si>
    <t>1399/07/12</t>
  </si>
  <si>
    <t>حواله ساتنا به حساب IR48 0180 0000 0000 0083 4920 74  نزد بانک تجارت شعبه توانیر کد 832 به نام شرکت لوید آلمان کیش بابت تسویه ف 20-0622 از ق ADSH-E-CO-GE-006 پس از کسر کسورات قانونی</t>
  </si>
  <si>
    <t>حواله ساتنا به حساب IR56 0120 0000 0000 5660 0800 38 نزد بانک ملت بنام آقای وحید نجاری با کد ملی 0072382831 بابت تسویه کامل ف 34 خرید ورق 25میل از آهن اسکندی</t>
  </si>
  <si>
    <t>1399/07/14</t>
  </si>
  <si>
    <t xml:space="preserve">
واریز به حساب  1 - 2688597 - 800 - 215 به نام آقای محسن خستو به شماره ملی 4839597987  بابت شارژ تنخواه دفتر مرکزی(اسناد تنخواه98.99.100.101.102.103)</t>
  </si>
  <si>
    <t>حواله ساتنا به حساب IR21 0120 0200 0000 4421 5120 85 نزد بانک ملت به نام شرکت خدمات مسافرت هوایی پرتو پرواز فردا بابت صورتحساب 63</t>
  </si>
  <si>
    <t>حواله ساتنا به حساب IR35 0120 0000 0000 0003 3635 23  نزد بانک ملت به نام آقای عبداله بحرانی جهت تسویه با شرکت شن و ماسه بهارجاشک بابت  فاکتور 171/99/74 تیرماه 1399 خرید شن و ماسه سایت</t>
  </si>
  <si>
    <t xml:space="preserve">حواله ساتنا به حساب IR54 0170 0000 0010 0175 9290 01 نزد بانک ملی به نام شرکت گلنور بابت تسویه ف 17368 خرید چراغ روشنایی و سوکت های صنعتی پروژه طبق اینویس cp-99-115-rev01 و cp-99-117-rev01 پس از کسر پ پ </t>
  </si>
  <si>
    <t>حواله ساتنا به حساب IR77 0540 1054 8110 0003 135005  نزد بانک پارسیان به نام شرکت مهندسین مشاور نگراندیش بابت ارائه گزارش پیشرفت منتعی به 1399/05/31 طی ف 379</t>
  </si>
  <si>
    <t>1399/07/15</t>
  </si>
  <si>
    <t>حواله ساتنا به حساب شماره IR47 0120 0100 0000 1938 1638 51 نزد بانک ملت بنام آقای سیدحسین میری با کدملی 0519843150 بابت تسویه خرید میز جلومبلی و کمد درب دار بخش مهندسی-صدارائی ف مورخ 1399/06/04و1399/06/02 خرید از صنایع چوب میری ساختمان جدید</t>
  </si>
  <si>
    <t>حواله ساتنا به حساب IR38 0630 2526 0441 6838 0830 01 نزد بانک انصار بنام خانم مرضیه هدایتی بابت تسویه ص و ش 1 ق ADSH-P-CO-GE-014  خرید مصالح شن و ماسه جهت تولید بتن</t>
  </si>
  <si>
    <t>1399/07/16</t>
  </si>
  <si>
    <t>حواله ساتنا به حساب IR95 0170 0000 0010 6641 5330 06 نزد بانک ملی به نام شرکت بین المللی ساروج بوشهر بابت  پ ف 99/3/7582 خرید 500 تن سیمان فله تیپ2 طی درخواست 067</t>
  </si>
  <si>
    <t xml:space="preserve">
واریز به حساب  1 - 2688597 - 800 - 215 به نام آقای محسن خستو به شماره ملی 4839597987  بابت شارژ تنخواه دفتر مرکزی(اسناد تنخواه104.105)</t>
  </si>
  <si>
    <t>واریز سود صندوق آتیه نوین</t>
  </si>
  <si>
    <t>واریز سود علی الحساب از 1399/06/10 تا 1399/07/09</t>
  </si>
  <si>
    <t>1399/07/10</t>
  </si>
  <si>
    <t>1399/07/20</t>
  </si>
  <si>
    <t>حواله ساتنا به حساب IR40 0190 0000 0011 0905 3550 08 نزد بانک صادرات بنام شرکت هماهنگ بار پارس بابت تسویه صورتحساب ش A19811 بابت بارنامه MILOEX20070416 بابت ترانزیت و CON+ROL VALVE محموله RMT</t>
  </si>
  <si>
    <t>حواله ساتنا به حساب IR90 0170 0000 0010 5751 1020 02 نزد بانک ملی بنام شرکت نارفوم کار بابت تسویه کامل ف 5891 خرید تجهیزات کپسول آتش نشانی ساختمان انبار طبق MTO-5710-01</t>
  </si>
  <si>
    <t>حواله ساتنا به حساب IR44 0570 0305 1101 3918 2830 01 نزد بانک پاسارگاد بنام شرکت داده پردازی نیک آفرین امروز پارسیان بابت تسویه کامل ف 1470 از  ق ADSH-P-CO-GE-013 تامین دوربین های CCTV ساختمان انبار پس از کسر پیش پرداخت</t>
  </si>
  <si>
    <t>حواله ساتنا به حساب IR 82 0130 1000 0000 0043 3971 41 نزد بانک رفاه کد 180 به نام شرکت ترسیم گران اندیشه پویا بابت تسویه فاکتورهای شماره 7427 خرید سیستم کامپیوتر و مانیتور و موس بخش پایپینگ(صباشریفی)</t>
  </si>
  <si>
    <t>حواله ساتنا به حساب IR 85 0180 0000 0000 3308 5655 47 نزد بانک تجارت بابت آقای محمدرسول اسماعیلی به کد ملی 0060912707 بابت تسویه ف 769 خرید صندلی گردان کارشناسی از مبلمان اداری امیران</t>
  </si>
  <si>
    <t>1399/07/21</t>
  </si>
  <si>
    <t>حواله ساتنا به حساب IR38 0630 2526 0441 6838 0830 01 نزد بانک انصار بنام خانم مرضیه هدایتی بابت تسویه ص و ش 2 ق ADSH-P-CO-GE-014  خرید مصالح شن و ماسه جهت تولید بتن از سیراف بتن جنوب</t>
  </si>
  <si>
    <t xml:space="preserve">حواله ساتنا به حسابIR24 0180 0000 0000 0023 1276 60  نزد بانک تجارت به نام شرکت مهندسین مشاور پی کاو بابت پرداخت کامل صورت وضعیت تائید شده شماره 15 مطالعات ژئوتکنیک طبق قرارداد ش ADISH-E-CO_CV-005 </t>
  </si>
  <si>
    <t>حواله ساتنا به حساب شماره IR82 0120 0000 0000 8375 6509 27 نزد بانک ملت بنام شرکت پالایش میعانات گازی آدیش جنوبی بابت تامین موجودی جهت حق بیمه و مالیات شهریور 99</t>
  </si>
  <si>
    <t>1399/07/23</t>
  </si>
  <si>
    <t xml:space="preserve">
واریز به حساب  1 - 2688597 - 800 - 215 به نام آقای محسن خستو به شماره ملی 4839597987  بابت شارژ تنخواه دفتر مرکزی(اسناد تنخواه.108.106.107)</t>
  </si>
  <si>
    <t>1399/07/27</t>
  </si>
  <si>
    <t>1399/07/28</t>
  </si>
  <si>
    <t xml:space="preserve">واریز به شماره حساب IR7401 8000 0000 0000 4507 2525 نزد بانک تجارت شعبه مرکزی کد 40 به نام شرکت فرآب بابت هزینه کارمزد تمدید  ضمانت نامه پیش پرداخت 98182027366 </t>
  </si>
  <si>
    <t>حواله ساتنا به حساب IR48 0180 0000 0000 0083 4920 74  نزد بانک تجارت شعبه توانیر کد 832 به نام شرکت لوید آلمان کیش بابت تسویه ص و ش 21 از ق ADSH-E-CO-GE-006</t>
  </si>
  <si>
    <t>حواله ساتنا به حساب IR27 0180 0000 0000 0353 0509 90   نزد بانک تجارت بنام شرکت صنعتی آما بابت خرید الکترود طبق پ ف 99-ت/4671 مورخ 1399/07/19</t>
  </si>
  <si>
    <t>حواله ساتنا به شماره IR21 0170 0000 0010 0765 8670 08 نزد بانک ملی  بنام شرکت آماک کوشا بابت تسویه ف 19577 بابت خرید تجهیزات ups دوربین های انبار</t>
  </si>
  <si>
    <t>حواله ساتنا به حساب IR23 0180 0000 0000 0012 9212 41 نرد بانک تجارت بنام نیکان تک ایرانیان بابت تسویه صورتحساب 6578  خرید ANCHOR BOLT پس از کسر ارزش افزوده</t>
  </si>
  <si>
    <t>حواله ساتنا به حساب IR16 0180 0000 0000 0289 0416 64 نزد بانک تجارت شعبه مرکزی کد 40 بنام شرکت پالایش میعانات گازی آدیش جنوبی بابت تامین موجودی</t>
  </si>
  <si>
    <t xml:space="preserve">
واریز به حساب  1 - 2688597 - 800 - 215 به نام آقای محسن خستو به شماره ملی 4839597987  بابت شارژ تنخواه دفتر مرکزی جهت پرداخت 8 فقره قبض برق مصرفی از 1399/05/01 تا 1399/06/25</t>
  </si>
  <si>
    <t xml:space="preserve">حواله ساتنا به حساب IR68 0550 0101 8280 5906 2070 01 نزد بانک اقتصاد بنام شرکت توسعه شبکه فروش همکاران سیستم بابت پیشنهاد فروش 5 کاربر SCM/1814/1399 </t>
  </si>
  <si>
    <t>حواله ساتنا به حساب IR29 0170 0000 0010 5349 0250 05 نزد بانک ملی بنام آقای احمد شاهرخی به کدملی 0439484855 بابت 70% پ پ پ ف 26421 جهت لوور ماسه گیر از جنس ورق گالوانیزه جهت ساختمان انبار</t>
  </si>
  <si>
    <t>حواله ساتنا به حساب IR79 0170 0000 0010 6023 1320 07 نزد بانک ملی بنام شرکت برنا الکترونیک بابت تسویه کامل ف 6225 و 6226 و 6227 خرید تجهیزات بالک پس از کسر 60% پیش پرداخت</t>
  </si>
  <si>
    <t>1399/07/29</t>
  </si>
  <si>
    <t xml:space="preserve">حواله ساتنا به حساب IR11 0200 0000 0010 0011 6220 06  نزد بانک توسعه صادرات کد 1305 بنام شرکت تولیدی و صنعتی فراسان بابت تسویه کامل ف9910349 خرید لوله و اتصالات GRP پس از کسر پیش پرداخت </t>
  </si>
  <si>
    <t>حواله ساتنا به حساب IR87 0180 0000 0000 3822 5711 30 نزد بانک تجارت بنام خانم مریم توده بخش با کد ملی 0059938498 بابت هزینه کارشناسی تکمیل طراحی آزمایشگاه پروژه و تهیه equipment list</t>
  </si>
  <si>
    <t xml:space="preserve">واریز به حساب  13342874/79  نزد بانک ملت بنام شرکت صنعتی و شیمیایی رنگین زره بابت تسویه پ ف 2706 خرید رنگ-آستری-تینر طی درخواست خرید 12 </t>
  </si>
  <si>
    <t>1399/07/30</t>
  </si>
  <si>
    <t>حواله ساتنا به حساب IR56 0120 0000 0000 5660 0800 38 نزد بانک ملت بنام آقای وحید نجاری با کد ملی 0072382831 بابت تسویه کامل ف 35 خرید میلگرد 10.22.25 از آهن اسکندی</t>
  </si>
  <si>
    <t>واریز به حساب 1-3028498-800-215 نزد بانک اقتصاد بنام خانم پروین صادق آبادی بابت تنخواه جهت واریز به شرکت حمل و نقل بین المللی توشه بر بابت هزینه برگشت کانتینر و تی اچ سی  بارنامه ش SMTGLG20070722A بابت اسناد پارت 48 فاتح صنعت ق SHELL TUBE EXCHANGER -FORGET ITEA PART 1</t>
  </si>
  <si>
    <t>واریز به حساب 1-3028498-800-215 نزد بانک اقتصاد بنام خانم پروین صادق آبادی بابت تنخواه جهت واریز به شرکت حمل و نقل بین المللی توشه بر بابت هزینه برگشت کانتینر و تی اچ سی بارنامه ش SMTGLG20070722 بابت اسناد پارت 49 فاتح صنعت ق SHELL TUBE EXCHANGER</t>
  </si>
  <si>
    <t xml:space="preserve">
واریز به حساب  1 - 2688597 - 800 - 215 به نام آقای محسن خستو به شماره ملی 4839597987  بابت شارژ تنخواه دفتر مرکزی(اسناد تنخواه.109.110)</t>
  </si>
  <si>
    <t>1399/08/03</t>
  </si>
  <si>
    <t>حواله ساتنا به حساب IR76 0170 0000 0011 3016 7370 01 نزد بانک ملی بنام شرکت خزر فن تهویه بابت تسویه پ ف 3487 جهت خرید فن دیواری ساختمان انبار سایت</t>
  </si>
  <si>
    <t>واریز به حساب 1-5180059-800-162 نزد بانک اقتصادنوین بنام آقای سیدبابک لطفی زاده با کد ملی 0068379765 بابت تسویه کامل طلب مرخصی 1397 و 1398 وکلیه مطالبات ایشان تا 1398/12/29</t>
  </si>
  <si>
    <t>واریز به حساب 1-5035696-833-178 نزد بانک اقتصادنوین بنام آقای فرهاد بانیانی با کد ملی 0068947593 بابت تسویه کامل طلب مرخصی 1398 وکلیه مطالبات ایشان تا 1398/12/29</t>
  </si>
  <si>
    <t>1399/08/01</t>
  </si>
  <si>
    <t>واریزی از شرکت روبینا بابت عودت مازاد سپرده نقدی پس از کسر دموراژ</t>
  </si>
  <si>
    <t>1399/08/07</t>
  </si>
  <si>
    <t>حواله ساتنا به حساب IR56 0120 0000 0000 5660 0800 38 نزد بانک ملت بنام آقای وحید نجاری با کد ملی 0072382831 بابت تسویه کامل ف 36 خرید میلگرد 20 از آهن اسکندی</t>
  </si>
  <si>
    <t>1399/08/10</t>
  </si>
  <si>
    <t xml:space="preserve">حواله ساتنا به حساب  IR 74 0180 0000 0000 5724 0321 00 نزد بانک تجارت شعبه ارم شیراز به نام شرکت فاتح صنعت کیمیا بابت پرداخت علی الحساب جهت تامین مواد مصرفی ساخت برج های ق ADSH-P-PO-GE-003  طی نامه PM-T17-99-106
</t>
  </si>
  <si>
    <t>حواله ساتنا به حساب IR56 0120 0000 0000 5660 0800 38 نزد بانک ملت بنام آقای وحید نجاری با کد ملی 0072382831 بابت تسویه کامل ف 37 خرید نبشی از آهن اسکندی</t>
  </si>
  <si>
    <t>حواله ساتنا به حساب IR21 0120 0200 0000 4421 5120 85 نزد بانک ملت به نام شرکت خدمات مسافرت هوایی پرتو پرواز فردا بابت صورتحساب 64</t>
  </si>
  <si>
    <t>1399/08/06</t>
  </si>
  <si>
    <t>1399/08/11</t>
  </si>
  <si>
    <t xml:space="preserve">
واریز به حساب  1 - 2688597 - 800 - 215 به نام آقای محسن خستو به شماره ملی 4839597987  بابت شارژ تنخواه دفتر مرکزی(اسناد تنخواه.111.112.113.114.115)</t>
  </si>
  <si>
    <t>پرداخت حقوق و دستمزد مهرماه 1399 کارکنان شرکت پالایش میعانات گازی آدیش جنوبی طبق لیست پیوست</t>
  </si>
  <si>
    <t>پرداخت هزینه های مهندسی مهرماه 1399 کارکنان شرکت پالایش میعانات گازی آدیش جنوبی طبق لیست پیوست</t>
  </si>
  <si>
    <t>واریز به حساب 1-140372-843-110 به نام آقای محسن صفائی فراهانی بابت عودت بدهی(مابه التفاوت مهر 1399)</t>
  </si>
  <si>
    <t>1399/08/12</t>
  </si>
  <si>
    <t>حواله ساتنا به حساب IR54 0150 0000 0159 6301 4207 12 نزد بانک سپه بنام آقای حسینعلی حجاری زاده بابت  اجاره 1399/06/15 تا 1399/08/30 6 دانگ ساختمان اداری پلاک ثبتی فرعی شماره 2693 از پلاک ثبتی اصلی 3381 به مساحت 1210 مترمربع طبق قرارداد 18998249</t>
  </si>
  <si>
    <t>واریز سود علی الحساب از 1399/07/10 تا 1399/08/09</t>
  </si>
  <si>
    <t>واریز به حساب 1-6110861-850-216 نزد بانک اقتصادنوین بنام شرکت توسعه تجارت روبینا بابت هزینه صدور ترخیصیه بارنامه MILOEX20090504 طبق اعلامیه ورود بابت محموله دوم RMT</t>
  </si>
  <si>
    <t>واریز به حساب 1-6110861-850-216 نزد بانک اقتصادنوین بنام شرکت توسعه تجارت روبینا بابت سپرده نقدی هزینه صدور ترخیصیه بارنامه MILOEX20090504 طبق اعلامیه ورود بابت محموله دوم RMT</t>
  </si>
  <si>
    <t>حواله ساتنا به حساب IR54 0150 0000 0159 6301 4207 12 نزد بانک سپه بنام آقای حسینعلی حجاری زاده بابت مابه التفاوت اجاره 1399/06/15 تا 1399/08/30 6 دانگ ساختمان اداری پلاک ثبتی فرعی شماره 2693 از پلاک ثبتی اصلی 3381 به مساحت 1210 مترمربع طبق قرارداد 18998249</t>
  </si>
  <si>
    <t>1399/08/14</t>
  </si>
  <si>
    <t>حواله ساتنا به حساب IR38 0630 2526 0441 6838 0830 01 نزد بانک انصار بنام خانم مرضیه هدایتی بابت تسویه ص و ش 3 ق ADSH-P-CO-GE-014  خرید مصالح شن و ماسه جهت تولید بتن از سیراف بتن جنوب</t>
  </si>
  <si>
    <t>حواله ساتنا به حساب IR83 0180 0000 0000 0673 6772 74 نزد بانک تجارت بنام شرکت پایاصنعت تیران بابت تسویه صورتحساب ش 758 برش ورق مخازن</t>
  </si>
  <si>
    <t>1399/08/18</t>
  </si>
  <si>
    <t xml:space="preserve">
واریز به حساب  1 - 2688597 - 800 - 215 به نام آقای محسن خستو به شماره ملی 4839597987  بابت شارژ تنخواه دفتر مرکزی(اسناد تنخواه.116.117)</t>
  </si>
  <si>
    <t xml:space="preserve">حواله ساتنا به حساب IR63 0190 0000 0010 5225 4610 06 نزد بانک صادرات به نام آقای امیر حسین شاملو بابت پرداخت فاکتور شماره 949  مورخ 1399/08/12 گروه تولیدی صنعتی شاملو (مبلمان نوژن) </t>
  </si>
  <si>
    <t>حواله ساتنا به حساب IR29 0170 0000 0010 5349 0250 05 نزد بانک ملی بنام آقای احمد شاهرخی به کدملی 0439484855 بابت تسویه پ ف 26421 -فاکتور ش 5622 جهت لوور ماسه گیر از جنس ورق گالوانیزه جهت ساختمان انبار</t>
  </si>
  <si>
    <t>واریز به حساب  13342874/79  نزد بانک ملت بنام شرکت صنعتی و شیمیایی رنگین زره بابت تسویه پ ف 2995 خرید رنگ-آستری-تینر</t>
  </si>
  <si>
    <t xml:space="preserve">
واریز به حساب  1 - 2688597 - 800 - 215 به نام آقای محسن خستو به شماره ملی 4839597987  بابت شارژ تنخواه دفتر مرکزی(اسناد تنخواه.118)</t>
  </si>
  <si>
    <t>1399/08/19</t>
  </si>
  <si>
    <t>واریز به شماره حساب  2110100716003  نزد بانک ملی شعبه میرداماد کد 64 به نام اداره کل امور مالیاتی-درآمد مستغلات اجاره املاک جهت پرداخت مالیات اجاره  1399/06/15 تا 1399/08/30، واحد 400222 کلاسه 303(قبض8272587970)</t>
  </si>
  <si>
    <t>حواله ساتنا به حساب IR55 0170 0000 0010 3020 7700 09 نزد بانک ملی بنام شرکت تولیدی و بازرگانی نیاشیمی بابت پ ف 991597 خرید نوارمشکی و سفید و پرایمر بابت عایق لوله های OSW</t>
  </si>
  <si>
    <t>1399/08/20</t>
  </si>
  <si>
    <t>حواله ساتنا به حساب IR23 0180 0000 0000 0012 9212 41 نرد بانک تجارت بنام نیکان تک ایرانیان بابت تسویه صورتحساب 6676  خرید ANCHOR BOLT پس از کسر ارزش افزوده</t>
  </si>
  <si>
    <t>حواله ساتنا به حساب IR 82 0130 1000 0000 0043 3971 41 نزد بانک رفاه کد 180 به نام شرکت ترسیم گران اندیشه پویا بابت تسویه فاکتورهای شماره 7880 خرید سیستم کامپیوتر و مانیتور و موس(آقای مرزبان-نقشه برداری سایت)</t>
  </si>
  <si>
    <t xml:space="preserve">حواله ساتنا به حساب IR11 0120 0100 0000 9239 9979 00 نزد بانک ملت بنام زهرا فلاحت پیشه با کدملی 4899377886 بابت خرید لوله 3 و 4 اینچ مانیسمان طی ف 0001 از کیمیا فرآیندجم </t>
  </si>
  <si>
    <t>1399/08/21</t>
  </si>
  <si>
    <t>حواله ساتنا به حساب IR66 0170 0000 0010 7398 6970 01 نزد بانک ملی بنام شرکت شاهو ترابر پارس بابت هزینه حق توقف ترخیص و تشریفات گمرکی بارنامه SMTGDLG20070722COMB2777  ترخیص فلنچ های فاتح صنعت</t>
  </si>
  <si>
    <t>1399/08/24</t>
  </si>
  <si>
    <t>حواله ساتنا به حساب IR56 0120 0200 0000 8355 7646 22 نزد بانک ملت بنام خانم آرزو محمدی بابت تسویه هزینه حمل ترانزیت محموله 2 پمپهای roodhart</t>
  </si>
  <si>
    <t>حواله ساتنا به حساب IR95 0170 0000 0010 6641 5330 06 نزد بانک ملی به نام شرکت بین المللی ساروج بوشهر بابت  پ ف 99/3/9489 خرید 500 تن سیمان فله تیپ2 طی درخواست 067</t>
  </si>
  <si>
    <t>حواله ساتنا به حساب IR60  0120  0200  0000  1714  4834  95 نزد بانک ملت به نام آقای عباس رحیمی بابت فاکتور شماره 103-9908  P.B.X جهت خرید کابل</t>
  </si>
  <si>
    <t>حواله ساتنا به حساب شماره IR82 0120 0000 0000 8375 6509 27 نزد بانک ملت بنام شرکت پالایش میعانات گازی آدیش جنوبی بابت تامین موجودی جهت حق بیمه و مالیات مهر 99</t>
  </si>
  <si>
    <t>1399/08/17</t>
  </si>
  <si>
    <t>واریزی آقای حجاری زاده بابت هزینه های قبلی ساختمان به عهده موجر</t>
  </si>
  <si>
    <t xml:space="preserve">حواله ساتنا به حسابIR24 0180 0000 0000 0023 1276 60  نزد بانک تجارت به نام شرکت مهندسین مشاور پی کاو بابت پرداخت کامل صورت وضعیت تائید شده شماره 16 مطالعات ژئوتکنیک طبق قرارداد ش ADISH-E-CO_CV-005 </t>
  </si>
  <si>
    <t>1399/08/25</t>
  </si>
  <si>
    <t xml:space="preserve">
واریز به حساب  1 - 2688597 - 800 - 215 به نام آقای محسن خستو به شماره ملی 4839597987  بابت شارژ تنخواه دفتر مرکزی(اسناد تنخواه.118.119)</t>
  </si>
  <si>
    <t>1399/08/26</t>
  </si>
  <si>
    <t>حواله ساتنا به حساب IR27 0180 0000 0000 0353 0509 90   نزد بانک تجارت بنام شرکت صنعتی آما بابت خرید الکترود طبق پ ف 99-ت/5304 مورخ 1399/08/19-درخواست19 بابت جوشکاری بدنه مخزن 05 و کف مخزن10 برای 2 ماه آینده</t>
  </si>
  <si>
    <t>حواله ساتنا به حساب IR33 0170 0000 0010 6826 1320 09 نزد بانک ملی بنام شرکت درساترابر آسیا بابت اعلامیه ورود بارنامه WIK/JEA/BAH/01495 بابت محمولخ 2 پمپهای رودهارت</t>
  </si>
  <si>
    <t>حواله ساتنا به حساب IR33 0170 0000 0010 6826 1320 09 نزد بانک ملی بنام شرکت درساترابر آسیا بابت سپرده نقدی کانتینر اعلامیه ورود بارنامه WIK/JEA/BAH/01495 بابت محمولخ 2 پمپهای رودهارت</t>
  </si>
  <si>
    <t xml:space="preserve">واریز به حساب شماره 1-6584556-850-1202 نزد بانک اقتصادنوین بنام شرکت صنعتی و ساختمانی آیلار صنعت سبلان بابت تسویه ف 3 و 4 خرید میلگرد 20 و 25 </t>
  </si>
  <si>
    <t>1399/08/27</t>
  </si>
  <si>
    <t>حواله ساتنا به حساب IR21 0120 0200 0000 4421 5120 85 نزد بانک ملت به نام شرکت خدمات مسافرت هوایی پرتو پرواز فردا بابت صورتحساب 66 و 65</t>
  </si>
  <si>
    <t>حواله ساتنا به حساب IR90 0560 081 68100 1066 5860 01   نزد بانک سامان شعبه اریکه ایرانیان کد 816  به نام شرکت آینده نگاران جهت خرید لایسنس آنتی ویروس سرورهای شرکت طی چ ف 99پ-1-114957</t>
  </si>
  <si>
    <t>حواله ساتنا به حساب IR66 0170 0000 0010 7398 6970 01 نزد بانک ملی بنام شرکت شاهو ترابر پارس بابت علی الحساب هزینه کرایه حمل داخلی و تشریفات گمرکی بارنامه WS2002TJABS22  ورق مخازن-راژان</t>
  </si>
  <si>
    <t>1399/08/28</t>
  </si>
  <si>
    <t>حواله ساتنا به حساب IR03 0220 1724 0111 3263 2760 01 نزد بانک توسعه تعاون بنام شرکت کاسپین سفیر کالا  بابت تسویه  ف 0519 بارنامه WIK/JEA/BAH/01495 هزینه حمل ترانزیت محموله 2 پمپهای roodhart</t>
  </si>
  <si>
    <t xml:space="preserve">واریز به شماره حساب IR51 0110 0000 0020 0079 4320 00 نزد بانک صنعت و معدن شعبه توسعه ملی بنام شرکت پالایش میعانات گازی آدیش جنوبی بابت تامین موجودی بابت تسویه ال سی ریالی 1 و 2 (ورقهای اریس اکسین)طبق اعلام بانک </t>
  </si>
  <si>
    <t>رسیدگی کننده:</t>
  </si>
  <si>
    <t>1399/09/01</t>
  </si>
  <si>
    <t>حواله ساتنا به حساب IR 82 0130 1000 0000 0043 3971 41 نزد بانک رفاه کد 180 به نام شرکت ترسیم گران اندیشه پویا بابت تسویه فاکتورهای شماره 7994  خرید سیستم کامپیوتر و مانیتور و موس</t>
  </si>
  <si>
    <t>1399/08/29</t>
  </si>
  <si>
    <t>1399/09/02</t>
  </si>
  <si>
    <t xml:space="preserve">حواله ساتنا به حساب IR74 0130 1000 0000 0012 9000 00 نزد بانک رفاه شعبه قرنی کد 1328 بنام بیمه آسیا بابت هزینه بیمه مسئولیت مدنی شماره 410551037/99/3 از تاریخ 1399/07/07 الی 1400/07/07 </t>
  </si>
  <si>
    <t>حواله ساتنا به حساب IR670190000000101113564004 نزد بانک صادرات بنام آقای حسن قایدی با کد ملی 3579606859  بابت تسویه کامل ف 1373 خرید ماسه بادی</t>
  </si>
  <si>
    <t>حواله ساتنا به حساب IR92 0170 0000 0022 0223 8400 06 نزد بانک ملی کد 63 به نام سیمان مند دشتی بابت  پ ف 9900192 خرید 500 تن سیمان فله تیپ2 طی درخواست ....</t>
  </si>
  <si>
    <t xml:space="preserve">حواله ساتنا به حساب IR56 0120 0000 0000 5660 0800 38 نزد بانک ملت بنام آقای وحید نجاری با کد ملی 0072382831 بابت تسویه ف 38 خرید میلیگرد 12.16.20.22 از آهن اسکندی </t>
  </si>
  <si>
    <t xml:space="preserve">
واریز به حساب 1-3521110-1-117 به نام آقای مهدی دمیرچی به کد ملی 0061926906 جهت واریز به حساب لوازم خانگی برادران بابت خرید 1 عدد تلوزیون 65 اینچ اتاق جلسات طی پیش فاکتور 5226
</t>
  </si>
  <si>
    <t>1399/09/03</t>
  </si>
  <si>
    <t xml:space="preserve">
واریز به حساب  1 - 2688597 - 800 - 215 به نام آقای محسن خستو به شماره ملی 4839597987  بابت شارژ تنخواه دفتر مرکزی(اسناد تنخواه 121 الی 123 )</t>
  </si>
  <si>
    <t>واریز به شماره حساب IR51 0110 0000 0020 0079 4320 00 نزد بانک صنعت و معدن شعبه توسعه ملی بنام شرکت پالایش میعانات گازی آدیش جنوبی بابت تامین موجودی هزینه کارمزد حواله و زهرنویسی اسناد  ال سی</t>
  </si>
  <si>
    <t>1399/09/04</t>
  </si>
  <si>
    <t xml:space="preserve">حواله ساتنا به حساب IR44 0120 0000 0000 8587 1019 11 نزد بانک ملت  به نام شرکت اریس اکسین  بابت  پ ف OX-PI-A-9908-310-REV04 خرید 49/766  کیلو گرم ورق A516 </t>
  </si>
  <si>
    <t>حواله ساتنا به حساب IR73 0170 0000 0011 1371 6220 02  نزد بانک ملی به نام شرکت کاریز هیدرو سازه گیل بابت تسویه فاکتور 1739 خرید میکروسیلیس طی درخواست ش 95</t>
  </si>
  <si>
    <t xml:space="preserve">واریز به حساب شماره 1-6584556-850-1202 نزد بانک اقتصادنوین بنام شرکت صنعتی و ساختمانی آیلار صنعت سبلان بابت تسویه ف 5 خرید میلگرد 20 و 16 </t>
  </si>
  <si>
    <t>اصلاح سند 20727796 تاریخ 1399/09/04</t>
  </si>
  <si>
    <t xml:space="preserve">حواله ساتنا به حساب IR35 0120 0000 0000 0003 3635 23  نزد بانک ملت به نام آقای عبداله بحرانی جهت تسویه با شرکت شن و ماسه بهارجاشک بابت-هزینه خریدماسه شسته،شن بادامی، شن نخودی و هزینه حمل مردادماه طی  ق ADSH-P-CO-cv-003 </t>
  </si>
  <si>
    <t>1399/09/05</t>
  </si>
  <si>
    <t>حواله ساتنا به حساب IR32 0220 0313 0111 1962 9670 01  نزد بانک تجارت به نام بازرگانی نوتاش صنعت سهند بابت تسویه فاکتور 98و99  خرید پایپ ساپورت و پایپ a106</t>
  </si>
  <si>
    <t>حواله ساتنا به حساب IR66 0170 0000 0010 7398 6970 01 نزد بانک ملی بنام شرکت شاهو ترابر پارس بابت علی الحساب هزینه کرایه حمل داخلی و تشریفات گمرکی بارنامه WS2002TJABS22  ورق مخازن-راژان طی فاکتور 1578</t>
  </si>
  <si>
    <t>حواله ساتنا به حساب IR70 0180 0000 0000 0306 8331 11  نزد بانک تجارت شعبه اکو کد 3060 بنام شرکت پالایش میعانات گازی آدیش جنوبی بابت تامین موجودی</t>
  </si>
  <si>
    <t>1399/09/08</t>
  </si>
  <si>
    <t>استرداد چ 587455  نزد بانک ملی به نام شرکت بین المللی ساروج بوشهر بابت  پ ف 99/3/9489 خرید 500 تن سیمان فله تیپ2 طی درخواست 067</t>
  </si>
  <si>
    <t>برگشت چ ش  587461 حواله ساتنا به حساب IR95 0170 0000 0010 6641 5330 06 نزد بانک ملی به نام شرکت بین المللی ساروج بوشهر بابت  پ ف 99/3/9489 خرید 500 تن سیمان فله تیپ2 طی درخواست 067</t>
  </si>
  <si>
    <t>1399/09/09</t>
  </si>
  <si>
    <t>کارمزد بانکی از 99/01/01 الی 99/09/06 حساب پشتیبان و جاری</t>
  </si>
  <si>
    <t>پرداخت حقوق و دستمزد آبان ماه 1399 کارکنان شرکت پالایش میعانات گازی آدیش جنوبی طبق لیست پیوست</t>
  </si>
  <si>
    <t>پرداخت هزینه های مهندسی آبان ماه 1399 کارکنان شرکت پالایش میعانات گازی آدیش جنوبی طبق لیست پیوست</t>
  </si>
  <si>
    <t>واریز به حساب 1-140372-843-110 به نام آقای محسن صفائی فراهانی بابت عودت بدهی(مابه التفاوت آبان 1399)</t>
  </si>
  <si>
    <t xml:space="preserve"> چ در وجه  نام شرکت آریا ترابر البرز باطل شد</t>
  </si>
  <si>
    <t>واریز سود علی الحساب از 1399/08/10 الی 1399/09/09</t>
  </si>
  <si>
    <t>1399/09/10</t>
  </si>
  <si>
    <t>کارمزد واریز حقوق</t>
  </si>
  <si>
    <t>1399/09/11</t>
  </si>
  <si>
    <t>برگشت چ ش 728733 در وجه  نام بنیاد علوم کاربردی رازی بابت تسویه صورتحساب 10004.5.7.9.10.12.13.14.15.16.17.18.19.20.21.22 بابت هزینه آزمایشگاه نمونه لوله های UG واحد CDU  و LPG</t>
  </si>
  <si>
    <t>1399/09/12</t>
  </si>
  <si>
    <t xml:space="preserve">واریز به حساب شماره 1-6584556-850-1202 نزد بانک اقتصادنوین بنام شرکت صنعتی و ساختمانی آیلار صنعت سبلان بابت تسویه ف 8 خرید 27.760 کیلو گرم میلگرد 12 </t>
  </si>
  <si>
    <t>Column1</t>
  </si>
  <si>
    <t>ابطال شد</t>
  </si>
  <si>
    <t>1399/09/15</t>
  </si>
  <si>
    <t>1399/09/16</t>
  </si>
  <si>
    <t>هزینه کارمزد صدور دسته چک 50 برگی</t>
  </si>
  <si>
    <t>1399/09/19</t>
  </si>
  <si>
    <t xml:space="preserve">
واریز به حساب 1-3521110-1-117 به نام آقای مهدی دمیرچی به کد ملی 0061926906 جهت تسویه هزینه های تنخواه گردان طبق لیست پیوست
</t>
  </si>
  <si>
    <t>واریز به حساب 1-6110861-850-216 نزد بانک اقتصادنوین بنام شرکت توسعه تجارت روبینا بابت تسویه  هزینه صدور ترخیصیه بارنامه MILOEX20090504 طبق اعلامیه ورود بابت محموله دوم RMT</t>
  </si>
  <si>
    <t xml:space="preserve">
واریز به حساب  1 - 2688597 - 800 - 215 به نام آقای محسن خستو به شماره ملی 4839597987  بابت شارژ تنخواه دفتر مرکزی(اسناد تنخواه.126 الی 131 پس از کسر علی الحساب پرداختی تا سقف شارژ یکصد میلیون ریال)</t>
  </si>
  <si>
    <t>کارمزد ابطال چک</t>
  </si>
  <si>
    <t>1399/09/18</t>
  </si>
  <si>
    <t>1399/09/24</t>
  </si>
  <si>
    <t xml:space="preserve">
واریز به حساب  1 - 2688597 - 800 - 215 به نام آقای محسن خستو به شماره ملی 4839597987  بابت شارژ تنخواه دفتر مرکزی(جهت پرداخت قبوض برق ساختمان دوره 99/05)</t>
  </si>
  <si>
    <t>حواله ساتنا به حساب IR21 0120 0200 0000 4421 5120 85 نزد بانک ملت به نام شرکت خدمات مسافرت هوایی پرتو پرواز فردا بابت صورتحساب 68</t>
  </si>
  <si>
    <t>1399/09/26</t>
  </si>
  <si>
    <t>واریزی رباط</t>
  </si>
  <si>
    <t>1399/09/25</t>
  </si>
  <si>
    <t>1399/10/01</t>
  </si>
  <si>
    <t xml:space="preserve">
واریز به حساب  1 - 2688597 - 800 - 215 به نام آقای محسن خستو به شماره ملی 4839597987  بابت شارژ تنخواه دفتر مرکزی(اسناد تنخواه.136و 135)</t>
  </si>
  <si>
    <t xml:space="preserve">واریز به حساب 1-3841672-800-155  به نام مجتبی زرافشان بابت وام ضروری طبق دستور پیوست </t>
  </si>
  <si>
    <t>1399/10/04</t>
  </si>
  <si>
    <t xml:space="preserve">کارمزد بانکی </t>
  </si>
  <si>
    <t>1399/10/07</t>
  </si>
  <si>
    <t xml:space="preserve">
واریز به حساب  1 - 2688597 - 800 - 215 به نام آقای محسن خستو به شماره ملی 4839597987  بابت شارژ تنخواه دفتر مرکزی(اسناد تنخواه.137و138و139)</t>
  </si>
  <si>
    <t>حواله ساتنا به حساب IR21 0120 0200 0000 4421 5120 85 نزد بانک ملت به نام شرکت خدمات مسافرت هوایی پرتو پرواز فردا بابت صورتحساب 69</t>
  </si>
  <si>
    <t>واریزی سنگ آهن مرکزی رباط</t>
  </si>
  <si>
    <t>1399/10/08</t>
  </si>
  <si>
    <t>حواله ساتنا به حساب IR37 0170 0000 0010 7246 2660 00 نزد بانک ملی بنام مجتبی طالبی به کد ملی 3873554755  بابت تسویه خرید پرده های ساختمان طی فاکتور 0644 و 0645 طبق دستور پیوست</t>
  </si>
  <si>
    <t>حواله ساتنا به حساب IR56 0120 0000 0000 5660 0800 38 نزد بانک ملت بنام آقای وحید نجاری با کد ملی 0072382831 بابت تسویه کامل ف 39  خرید ورق 12و16و22 میل از آهن اسکندی</t>
  </si>
  <si>
    <t>حواله ساتنا به حساب IR44 0570 0305 1101 3918 2830 01 نزد بانک پاسارگاد بنام شرکت داده پردازی نیک آفرین امروز پارسیان بابت تسویه کامل ف 1488 از  ق ADSH-P-CO-GE-013 تامین دوربین های CCTV ساختمان انبار (پس از کسر تاخیر 77 روزه طبق بند 7-7 قراداد)</t>
  </si>
  <si>
    <t>پرداخت حقوق و دستمزد آذر ماه 1399 کارکنان شرکت پالایش میعانات گازی آدیش جنوبی طبق لیست پیوست</t>
  </si>
  <si>
    <t>پرداخت هزینه های مهندسی آذر ماه 1399 کارکنان شرکت پالایش میعانات گازی آدیش جنوبی طبق لیست پیوست</t>
  </si>
  <si>
    <t>واریز به حساب 1-140372-843-110 به نام آقای محسن صفائی فراهانی بابت عودت بدهی(مابه التفاوت آذر 1399)</t>
  </si>
  <si>
    <t>حواله ساتنا به حساب IR45 0180 0000 0000 0356 8064 09 نزد بانک تجارت بنام شرکت سپهرمولد بابت علی الحساب</t>
  </si>
  <si>
    <t>حواله ساتنا به حساب IR54 0150 0000 0159 6301 4207 12 نزد بانک سپه بنام آقای حسینعلی حجاری زاده بابت  اجاره 1399/09/01 تا 1399/10/30 6 دانگ ساختمان اداری پلاک ثبتی فرعی شماره 2693 از پلاک ثبتی اصلی 3381 به مساحت 1210 مترمربع طبق قرارداد 18998249</t>
  </si>
  <si>
    <t>1399/10/09</t>
  </si>
  <si>
    <t xml:space="preserve">حواله ساتنا به حساب شماره IR23 0180 0000 0000 0356 8064 17 نزد بانک تجارت شعبه مستقل مرکزی بنام شرکت پالایش میعانات گازی آدیش جنوبی بابت تامین موجودی </t>
  </si>
  <si>
    <t>1399/10/10</t>
  </si>
  <si>
    <t>حواله ساتنا به حساب شماره IR79 0570 0356 8101 3545 3101 01 نزد بانک پاسارگاد شعبه شهید سلیمانی بنام شرکت نگهبان بابت پیش پرداخت خرید اسپرینکلر طی پیش فاکتور شماره NF-99-1386-CO جهت ساختمان warehouse</t>
  </si>
  <si>
    <t>واریز سود علی الحساب از 1399/09/10 الی 1399/10/09</t>
  </si>
  <si>
    <t>حواله ساتنا به حساب IR73 0170 0000 0011 1371 6220 02  نزد بانک ملی به نام شرکت کاریز هیدرو سازه گیل بابت تسویه فاکتور 1821 خرید میکروسیلیس طی درخواست ش 104بابت بچینگ</t>
  </si>
  <si>
    <t xml:space="preserve">واریزی شرکت سنگ آهن رباط مرکزی </t>
  </si>
  <si>
    <t>کارمزد بانکی</t>
  </si>
  <si>
    <t>1399/10/14</t>
  </si>
  <si>
    <t xml:space="preserve">
واریز به حساب  1 - 2688597 - 800 - 215 به نام آقای محسن خستو به شماره ملی 4839597987  بابت شارژ تنخواه دفتر مرکزی(اسناد تنخواه 143-140)</t>
  </si>
  <si>
    <t>کارمزد بانکی  5 فقره از 99/10/09 تا 99/10/09</t>
  </si>
  <si>
    <t xml:space="preserve">کارمزد بانکی ساتنا </t>
  </si>
  <si>
    <t>1399/10/11</t>
  </si>
  <si>
    <t>1399/10/16</t>
  </si>
  <si>
    <t xml:space="preserve">
واریز به حساب  1 - 2688597 - 800 - 215 به نام آقای محسن خستو به شماره ملی 4839597987  بابت شارژ تنخواه دفتر مرکزی(اسناد تنخواه 144)</t>
  </si>
  <si>
    <t>1399/10/20</t>
  </si>
  <si>
    <t>1399/10/21</t>
  </si>
  <si>
    <t xml:space="preserve">
واریز به حساب  1 - 2688597 - 800 - 215 به نام آقای محسن خستو به شماره ملی 4839597987  بابت شارژ تنخواه دفتر مرکزی(اسناد تنخواه 145-146)</t>
  </si>
  <si>
    <t>1399/10/22</t>
  </si>
  <si>
    <t>1399/10/23</t>
  </si>
  <si>
    <t xml:space="preserve">واریز تتمه سپرده نقدی توسط شرکت حمل و نقل بین المللی هماهنگ ببه نامپ </t>
  </si>
  <si>
    <t>1399/10/25</t>
  </si>
  <si>
    <t xml:space="preserve">
واریز به حساب  1 - 2688597 - 800 - 215 به نام آقای محسن خستو به شماره ملی 4839597987  بابت شارژ تنخواه جهت هزینه های دفتر خانه </t>
  </si>
  <si>
    <t>1399/10/29</t>
  </si>
  <si>
    <t xml:space="preserve">واریزی به شماره حساب  1-3184736-701-120 به نام الهام خدابخشی عباسی  با کد ملی 0082844542 بابت تسویه بازخرید 21 ساعت طلب مرخصی ایشان </t>
  </si>
  <si>
    <t>1399/10/30</t>
  </si>
  <si>
    <t xml:space="preserve">
واریز به حساب  1 - 2688597 - 800 - 215 به نام آقای محسن خستو به شماره ملی 4839597987  بابت شارژ تنخواه دفتر مرکزی(اسناد تنخواه 150-147)</t>
  </si>
  <si>
    <t xml:space="preserve">واریز به شماره حساب IR51 0110 0000 0020 0079 4320 00 نزد بانک صنعت و معدن بنام شرکت پالایش میعانات گازی آدیش جنوبی بابت تامین موجودی </t>
  </si>
  <si>
    <t>1399/11/07</t>
  </si>
  <si>
    <t>1399/11/11</t>
  </si>
  <si>
    <t>واریزی شرکت سنگ آهن رباط مرکزی بابت افزایش سرمایه</t>
  </si>
  <si>
    <t>1399/11/08</t>
  </si>
  <si>
    <t>واریز سود علی الحساب از 1399/10/10 تا 1399/11/09</t>
  </si>
  <si>
    <t>1399/11/10</t>
  </si>
  <si>
    <t>کارمزد بانکی مورخ 99/10/23 - 99/10/24</t>
  </si>
  <si>
    <t>هزینه کارمزد وصول چک 600585</t>
  </si>
  <si>
    <t>1399/11/12</t>
  </si>
  <si>
    <t>پرداخت حقوق و دستمزد دی ماه 1399 کارکنان شرکت پالایش میعانات گازی آدیش جنوبی طبق لیست پیوست</t>
  </si>
  <si>
    <t>پرداخت هزینه های مهندسی دی ماه 1399 کارکنان شرکت پالایش میعانات گازی آدیش جنوبی طبق لیست پیوست</t>
  </si>
  <si>
    <t>واریز به حساب 1-140372-843-110 به نام آقای محسن صفائی فراهانی بابت عودت بدهی(مابه التفاوت دی 1399)</t>
  </si>
  <si>
    <t>واریزی از بانک تجارت مرکزی بابت تامین موجودی</t>
  </si>
  <si>
    <t>1399/11/14</t>
  </si>
  <si>
    <t>واریز به حساب 1-5712171-800-217 نزد بانک اقتصادنوین بنام خانم مهسا هوشیاری به کدملی 0068406924 بابت تنخواه شارژ کارت های غیر نقدی هدایای روز زن طبق لیست پیوست</t>
  </si>
  <si>
    <t>1399/11/16</t>
  </si>
  <si>
    <t>هزینه کارمزد واریز حقوق و وصول چک مورخ 99/11/12</t>
  </si>
  <si>
    <t>1399/11/19</t>
  </si>
  <si>
    <t xml:space="preserve">
واریز به حساب  1 - 2688597 - 800 - 215 به نام آقای محسن خستو به شماره ملی 4839597987  بابت شارژ تنخواه دفتر مرکزی(اسناد تنخواه 156-159)</t>
  </si>
  <si>
    <t>حواله ساتنا به حساب IR40 0190 0000 0011 0905 3550 08 نزد بانک صادرات بنام شرکت هماهنگ بار پارس بابت تسویه صورتحساب ش A21164 بابت بارنامه  DECXBND202012051TRN  بابت  هزینه ترانزیت  محموله هیسکو به عسلویه</t>
  </si>
  <si>
    <t>حواله ساتنا به حساب IR21 0120 0200 0000 4421 5120 85 نزد بانک ملت به نام شرکت خدمات مسافرت هوایی پرتو پرواز فردا بابت صورتحساب72</t>
  </si>
  <si>
    <t>هزینه کارمزد صدور چک ساتنا</t>
  </si>
  <si>
    <t>1399/11/20</t>
  </si>
  <si>
    <t>1399/11/18</t>
  </si>
  <si>
    <t>1399/11/21</t>
  </si>
  <si>
    <t>1399/11/25</t>
  </si>
  <si>
    <t xml:space="preserve">واریز به حساب 1-140372-843-110 به نام آقای محسن صفائی فراهانی بابت عودت قرض الحسنه  </t>
  </si>
  <si>
    <t>1399/11/26</t>
  </si>
  <si>
    <t>هزینه کارمزد دستور پرداخت ساتنا مورخ 99/11/26</t>
  </si>
  <si>
    <t>هزینه کارمزد دستور پرداخت پایا</t>
  </si>
  <si>
    <t xml:space="preserve">
واریز به حساب  1 - 2688597 - 800 - 215 به نام آقای محسن خستو به شماره ملی 4839597987  بابت شارژ تنخواه دفتر مرکزی(اسناد تنخواه 163-160)</t>
  </si>
  <si>
    <t>1399/11/27</t>
  </si>
  <si>
    <r>
      <t>حواله ساتنا به حساب IR45 0180 0000 0000 0356 8064 09 نزد بانک تجارت بنام شرکت سپهرمولد بابت علی الحساب</t>
    </r>
    <r>
      <rPr>
        <sz val="12"/>
        <color rgb="FFFF0000"/>
        <rFont val="B Nazanin"/>
        <charset val="178"/>
      </rPr>
      <t xml:space="preserve"> ق ADSH-E-CO-GE-008</t>
    </r>
  </si>
  <si>
    <t xml:space="preserve">شماره قرارداد سپهر قید بشه </t>
  </si>
  <si>
    <t>1399/11/30</t>
  </si>
  <si>
    <t xml:space="preserve">واریز پایا بابت عودت الباقی سپرده نقدی توسط حمل و نقل بین المللی هماهنگ بار پارس هیتر KTI محموله 5  DECXPND202010822A </t>
  </si>
  <si>
    <t>1399/12/03</t>
  </si>
  <si>
    <t>حواله ساتنا به حساب IR60  0120  0200  0000  1714  4834  95 نزد بانک ملت به نام آقای عباس رحیمی بابت فاکتور شماره 991003-991111  P.B.X جهت خرید کابل و پچ کرد شبکه</t>
  </si>
  <si>
    <t>حواله ساتنا به حساب IR23 0180 0000 0000 0012 9212 41 نزد بانک تجارت بنام نیکان تک ایرانیان بابت تسویه صورتحساب 6971-6972-6973 خرید ANCHOR BOLT و EYE NUT پس از کسر ارزش افزوده</t>
  </si>
  <si>
    <t>حواله ساتنا به حساب IR19 0120 0000 0000 0140 4634 17 نزد بانک ملت بنام شرکت پولاد پیچ کار بابت پرداخت مابقی ف 23824-23825 خرید پیچ شش گوش پس از کسر 9% VAT</t>
  </si>
  <si>
    <t>واریز به شماره حساب  1-3028498-800-215  بنام خانم پروین صادق آبادی بابت پرداخت علی الحساب  حقوق بهمن و اسفند ماه و عیدی و سنوات 1399 طبق پیوست</t>
  </si>
  <si>
    <t>1399/12/04</t>
  </si>
  <si>
    <t xml:space="preserve">
واریز به حساب  1 - 2688597 - 800 - 215 به نام آقای محسن خستو به شماره ملی 4839597987  بابت شارژ تنخواه دفتر مرکزی(اسناد تنخواه 167-164)</t>
  </si>
  <si>
    <t>واریزی شرکت سنگ آهن مرکزی رباط بابت افزایش سرمایه</t>
  </si>
  <si>
    <t xml:space="preserve">هزینه کارمزد بانکی </t>
  </si>
  <si>
    <t>1399/11/28</t>
  </si>
  <si>
    <t>حواله ساتنا به حساب  IR700180000000000306833111 نزد بانک تجارت شعبه اکو کد 3060 بنام شرکت پالایش میعانات گازی آدیش جنوبی بابت تامین موجودی</t>
  </si>
  <si>
    <t>1399/12/05</t>
  </si>
  <si>
    <t>هزینه کارمزد دستور پرداخت ساتنا</t>
  </si>
  <si>
    <t>واریز به حساب 1-140372-843-110 به نام آقای محسن صفائی فراهانی بابت عودت بدهی (مابه التفاوت بهمن 1399)</t>
  </si>
  <si>
    <t>1399/12/09</t>
  </si>
  <si>
    <t>پرداخت حقوق و دستمزد بهمن ماه 1399 کارکنان شرکت پالایش میعانات گازی آدیش جنوبی طبق لیست پیوست</t>
  </si>
  <si>
    <t>پرداخت هزینه های مهندسی بهمن ماه 1399 کارکنان شرکت پالایش میعانات گازی آدیش جنوبی طبق لیست پیوست</t>
  </si>
  <si>
    <t>واریز به حساب 1-6381404-850-215 نزد بانک اقتصادنوین بنام شرکت سپهرمولد بابت تامین موجودی ق ADSH-E-CO-GE-008</t>
  </si>
  <si>
    <t>حواله ساتنا به حساب IR81 0550 0215 8500 5278 6240 01 نزد بانک اقتصادنوین بنام شرکت پالایش میعانات گازی آدیش جنوبی بابت تامین موجودی</t>
  </si>
  <si>
    <t>1399/12/10</t>
  </si>
  <si>
    <t>واریز سود علی الحساب از 1399/11/10 تا 1399/12/09</t>
  </si>
  <si>
    <t xml:space="preserve">واریز حقوق -خانم صادق آبادی-پرداخت بدهی </t>
  </si>
  <si>
    <t>1399/12/11</t>
  </si>
  <si>
    <t xml:space="preserve">حواله ساتنا به حساب IR11 0200 0000 0010 0011 6220 06  نزد بانک توسعه صادرات کد 1305 بنام شرکت تولیدی و صنعتی فراسان بابت 50% پ پ خرید لوله و اتصالات GRP بابت یونیت TNK و INT طی پ ف 119/9289 (2 پیشنهاد قیمت) </t>
  </si>
  <si>
    <t>واریز به حساب شماره 1-6584556-850-1202 نزد بانک اقتصادنوین بنام شرکت صنعتی و ساختمانی آیلار صنعت سبلان بابت تسویه ف 12 خرید میلگرد 10.12.16</t>
  </si>
  <si>
    <t>حواله ساتنا به حساب IR21 0120 0200 0000 4421 5120 85 نزد بانک ملت به نام شرکت خدمات مسافرت هوایی پرتو پرواز فردا بابت صورتحساب 73</t>
  </si>
  <si>
    <t>1399/12/12</t>
  </si>
  <si>
    <t>حواله ساتنا به حساب IR38 0510 0000 0200 0800 2027 01 نزد بانک سپه به نام امیر کیخسرو حقیقی بابت هزینه تعویض باطری ها و تعمیر برد  UPS  از آسانسور فرکر</t>
  </si>
  <si>
    <t xml:space="preserve">ابطال شد </t>
  </si>
  <si>
    <t xml:space="preserve">
واریز به حساب  1 - 2688597 - 800 - 215 به نام آقای محسن خستو به شماره ملی 4839597987  بابت شارژ تنخواه دفتر مرکزی(اسناد تنخواه 173-169)</t>
  </si>
  <si>
    <t>حواله ساتنا به حساب IR41 0550 0135 0010 0140 3720 01  به نام آقای محسن صفائی فراهانی با کد ملی 0039723811 بابت خرید هدایای نوروزی طی فاکتور ش 3219</t>
  </si>
  <si>
    <t xml:space="preserve">حواله ساتنا به حساب IR19 0150 0000 0185 8300 9672 04 نزد بانک سپه به نام شرکت پرشیا سیس خاورمیانه بابت 50% پیش پرداخت خرید آنتی ویروس </t>
  </si>
  <si>
    <t>1399/12/13</t>
  </si>
  <si>
    <t xml:space="preserve">
واریز به حساب  1 - 2688597 - 800 - 215 به نام آقای محسن خستو به شماره ملی 4839597987  بابت شارژ تنخواه دفتر مرکزی </t>
  </si>
  <si>
    <t xml:space="preserve">
واریز به حساب  1 - 2688597 - 800 - 215 به نام آقای محسن خستو به شماره ملی 4839597987  بابت شارژ تنخواه دفتر مرکزی(اسناد تنخواه 174-175)</t>
  </si>
  <si>
    <t xml:space="preserve">واریزی توسط سهامداران بابت افزایش سرمایه </t>
  </si>
  <si>
    <t>هزینه کارمزد بابت پرداخت حقوق 8 نفر</t>
  </si>
  <si>
    <t>هزینه کارمزد بابت پرداخت حقوق 20 نفر پرسنل</t>
  </si>
  <si>
    <t>هزینه کارمزد بانکی ساتنا 1399/12/13</t>
  </si>
  <si>
    <t xml:space="preserve">اصلاح سند 20129017 تاریخ 1399/12/13 -عودت ساتنای مربوطه به علت عدم ثبت چک </t>
  </si>
  <si>
    <t>هزینه کارمزد بانکی پایا</t>
  </si>
  <si>
    <t>1399/12/16</t>
  </si>
  <si>
    <t xml:space="preserve">حواله ساتنا به حساب IR11 0120 0100 0000 9239 9979 00 نزد بانک ملت بنام زهرا فلاحت پیشه با کدملی 4899377886 بابت خرید نبشی و ناودانی طی ف 0007 از کیمیا فرآیندجم </t>
  </si>
  <si>
    <t>حواله ساتنا به حساب IR77 0540 1054 8110 0003 135005  نزد بانک پارسیان به نام شرکت طرح و ساخت نگراندیش بابت ارائه گزارش پیشرفت منتهی به 1399/09/30 طی ف 440</t>
  </si>
  <si>
    <t>حواله ساتنا به حساب IR54 0150 0000 0159 6301 4207 12 نزد بانک سپه بنام آقای حسینعلی حجاری زاده بابت  اجاره 1399/11/01 تا 1399/12/30 6 دانگ ساختمان اداری پلاک ثبتی فرعی شماره 2693 از پلاک ثبتی اصلی 3381 به مساحت 1210 مترمربع طبق قرارداد 18998249</t>
  </si>
  <si>
    <t>حواله ساتنا به حساب IR95 0180 0000 0000 0306 8331 46 نزد بانک تجارت شعبه اکو بنام شرکت سپهرمولد بابت علی الحساب ق ADSH-E-CO-GE-008</t>
  </si>
  <si>
    <t>حواله ساتنا به حساب IR82 0120 0000 0000 8744 2172 68 نزد بانک ملت بنام شرکت سپهرمولد بابت علی الحساب  ق ADSH-E-CO-GE-008</t>
  </si>
  <si>
    <t>واریز به شماره حساب 1-6300529-2-155 نزد بانک اقتصادنوین به نام شرکت بهساز فرآیند سیستم بابت استرداد سپرده بیمه و سپرده حسن انجام کار قرارداد شماره 132/1398/BFS جهت استقرار و پیاده سازی سیستم های نرم افزاری راهکاران سیستم پس از کسر کسورات قانونی</t>
  </si>
  <si>
    <t xml:space="preserve">حواله ساتنا به حساب IR27 0180 0000 0000 0353 0509 90   نزد بانک تجارت بنام شرکت صنعتی آما بابت خرید الکترود طبق ف 315542  مورخ 1399/12/11-درخواست19 جهت هزینه بسته بندی و بارگیری </t>
  </si>
  <si>
    <t xml:space="preserve">واریز سود ماهانه منتهی به 99/12/15 صندوق آتیه نوین </t>
  </si>
  <si>
    <t xml:space="preserve">واریزی به شماره حساب  1-9000100-701-156  به نام محمد رضا رود پیش زاده فومنی با کد ملی 0053582608 بابت تسویه کامل حقوق شهریور ماه 99 و عیدی و بازخرید سنوات و طلب مرخصی ایشان تا 1399/06/01پس از کسر بدهی بیمه تکمیلی </t>
  </si>
  <si>
    <t xml:space="preserve">واریزی به شماره حساب 1-140373-843-110  به نام سمیه جورقانیان با کد ملی 3874070816 بابت تسویه کامل حقوق اسفند ماه 99 و عیدی و بازخرید سنوات و طلب مرخصی ایشان تا 1399/12/11 </t>
  </si>
  <si>
    <t>1399/12/17</t>
  </si>
  <si>
    <t>حواله ساتنا به حساب IR56 0120 0000 0000 5660 0800 38 نزد بانک ملت بنام آقای وحید نجاری با کد ملی 0072382831 بابت تسویه کامل ف 43 خرید میلگرد از آهن اسکندی</t>
  </si>
  <si>
    <t>1399/12/18</t>
  </si>
  <si>
    <t>هزینه کارمزد صدور چک رمزدار</t>
  </si>
  <si>
    <t>حواله ساتنا به حساب IR56 0120 0000 0000 5660 0800 38 نزد بانک ملت بنام آقای وحید نجاری با کد ملی 0072382831 بابت علی الحساب پیش فاکتور ش 0028 از آهن اسکندی</t>
  </si>
  <si>
    <t>حواله ساتنا به حساب IR08 0170 0000 0010 5500 0570 02 نزد بانک ملی بنام شرکت گنجینه مهر پارس بابت 50% پیش پرداخت خرید دربهای ضد حریق مربوط به ساختمان های صنعتی طبق پ ف 477</t>
  </si>
  <si>
    <t xml:space="preserve">
واریز به حساب  1 - 2688597 - 800 - 215 به نام آقای محسن خستو به شماره ملی 4839597987  بابت شارژ تنخواه دفتر مرکزی ( اسناد ش 176-178) </t>
  </si>
  <si>
    <t>حواله ساتنا به حساب IR38 0630 2526 0441 6838 0830 01 نزد بانک انصار بنام خانم مرضیه هدایتی بابت تسویه ص و ش 9 ق ADSH-P-CO-GE-014  خرید مصالح شن و ماسه جهت تولید بتن از سیراف بتن جنوب</t>
  </si>
  <si>
    <t xml:space="preserve">حواله ساتنا به حسابIR24 0180 0000 0000 0023 1276 60  نزد بانک تجارت به نام شرکت مهندسین مشاور پی کاو بابت پرداخت کامل صورت وضعیت تائید شده شماره 20 مطالعات ژئوتکنیک طبق قرارداد ش ADISH-E-CO_CV-005 </t>
  </si>
  <si>
    <t>حواله ساتنا به حساب IR44 0120 0000 0000 8587 1019 11 نزد بانک ملت  به نام شرکت اریس اکسین  بابت  پ ف OX-PI-A-99-11-489-REV03 خرید 274.590  کیلو گرم ورق A516 وA283</t>
  </si>
  <si>
    <t>هزینه کارمزد ساتنا</t>
  </si>
  <si>
    <t>واریزی از نیلوفر صفی یار(استرداد سپرده نقدی شرکت اقیانوس آبی بابت محموله رود هارت 4)</t>
  </si>
  <si>
    <t>1399/12/19</t>
  </si>
  <si>
    <t>حواله ساتنا به حساب IR56 0120 0000 0000 5660 0800 38 نزد بانک ملت بنام آقای وحید نجاری با کد ملی 0072382831 بابت خرید میلگرد طبق فاکتور ش 0044 از آهن اسکندی</t>
  </si>
  <si>
    <t>پرداخت علی الحساب حقوق و دستمزد اسفند ماه 1399 کارکنان شرکت پالایش میعانات گازی آدیش جنوبی طبق لیست پیوست</t>
  </si>
  <si>
    <t>پرداخت عیدی 1399 کارکنان شرکت پالایش میعانات گازی آدیش جنوبی طبق لیست پیوست</t>
  </si>
  <si>
    <t>هزینه کارمزد صدور 15 فقره بن کارت</t>
  </si>
  <si>
    <t>واریز به حساب 1-140372-843-110 به نام آقای محسن صفائی فراهانی بابت عودت بدهی (مابه التفاوت اسفند 1399)</t>
  </si>
  <si>
    <t>هزینه کارمزد ساتنا و دسته چک مورخ 99/12/19</t>
  </si>
  <si>
    <t>واریزی آقای صفایی بابت بخشی از افزایش سرمایه</t>
  </si>
  <si>
    <t>1399/12/20</t>
  </si>
  <si>
    <t>هزینه کارمزد واریز حقوق و عیدی 8 نفر</t>
  </si>
  <si>
    <t>1399/12/23</t>
  </si>
  <si>
    <t>1399/12/24</t>
  </si>
  <si>
    <t>حواله ساتنا به حساب IR73 0170 0000 0011 1371 6220 02  نزد بانک ملی به نام شرکت کاریز هیدرو سازه گیل بابت تسویه فاکتور 2059 خرید گروت جهت بچینگ</t>
  </si>
  <si>
    <t xml:space="preserve">حواله ساتنا به حساب IR19 0150 0000 0185 8300 9672 04 نزد بانک سپه به نام شرکت پرشیا سیس خاورمیانه بابت تسویه فاکتور خرید آنتی ویروس </t>
  </si>
  <si>
    <t>پرداخت بابت شارژ بن کارت های سبد کالای 7 نفر از پرسنل شرکت پالایش میعانات گازی آدیش جنوبی طبق لیست پیوست</t>
  </si>
  <si>
    <t xml:space="preserve">هزینه کارمزد ساتنا  </t>
  </si>
  <si>
    <t xml:space="preserve">
واریز به حساب  1 - 2688597 - 800 - 215 به نام آقای محسن خستو به شماره ملی 4839597987  بابت شارژ تنخواه دفتر مرکزی ( اسناد ش 180-179) </t>
  </si>
  <si>
    <t>واریز به حساب  13342874/79  نزد بانک ملت بنام شرکت صنعتی و شیمیایی رنگین زره بابت VAT تسویه  فاکتور 3866  به شماره شبای IR16 0120 0000 0000 1334 2874 79</t>
  </si>
  <si>
    <t>حواله ساتنا به حساب IR56 0120 0000 0000 5660 0800 38 نزد بانک ملت بنام آقای وحید نجاری با کد ملی 0072382831 بابت خرید میلگرد و نبشی و اتصالات طبق فاکتور ش 0046 از آهن اسکندی</t>
  </si>
  <si>
    <t>1399/12/25</t>
  </si>
  <si>
    <t>حواله ساتنا به حساب IR41 0550 0135 0010 0140 3720 01  به نام آقای محسن صفائی فراهانی با کد ملی 0039723811 بابت خرید هدایای نوروزی طی فاکتور ش 3231-3232</t>
  </si>
  <si>
    <t xml:space="preserve">حواله ساتنا به حساب IR64 0120 0000 0000 9321 9823 78 نزد بانک ملت بنام آقای محسن صفائی فراهانی بابت </t>
  </si>
  <si>
    <t>واریزی از بانک صنعت و معدن به اقتصاد آدیش</t>
  </si>
  <si>
    <t>واریز به حساب 1-6381404-850-215 نزد بانک اقتصادنوین بنام شرکت سپهرمولد بابت علی الحساب ق ADSH-E-CO-GE-008</t>
  </si>
  <si>
    <t>1399/12/26</t>
  </si>
  <si>
    <t>حواله ساتنا به حساب IR11 0120 0000 0000 2167 6808 20 نزد بانک ملت بنام آقای محسن خسروی بابت 50% پ پ ق ADSH-E-CO-GE-013 طراحی وب سایت شرکت</t>
  </si>
  <si>
    <t>حواله ساتنا به حساب IR21 0120 0200 0000 4421 5120 85 نزد بانک ملت به نام شرکت خدمات مسافرت هوایی پرتو پرواز فردا بابت صورتحساب 74 و 75</t>
  </si>
  <si>
    <t>1399/12/27</t>
  </si>
  <si>
    <t>حواله ساتنا به حساب IR38 0630 2526 0441 6838 0830 01 نزد بانک انصار بنام خانم مرضیه هدایتی بابت تسویه ص و ش 10 ق ADSH-P-CO-GE-014  خرید مصالح شن و ماسه جهت تولید بتن از سیراف بتن جنوب</t>
  </si>
  <si>
    <t>هزینه کارمزد ساتنا  99/12/24</t>
  </si>
  <si>
    <t>هزینه کارمزد ساتنا و 69 فقره شارژ بن کارت  99/12/25</t>
  </si>
  <si>
    <t>هزینه کارمزد ساتنا  99/12/26</t>
  </si>
  <si>
    <t>1400/01/15</t>
  </si>
  <si>
    <t>حواله ساتنا به حساب IR56 0120 0000 0000 5660 0800 38 نزد بانک ملت بنام آقای وحید نجاری با کد ملی 0072382831 بابت خرید میلگرد  طبق فاکتور ش 0047 از آهن اسکندی</t>
  </si>
  <si>
    <t>حواله ساتنا به حساب IR21 0120 0200 0000 4421 5120 85 نزد بانک ملت به نام شرکت خدمات مسافرت هوایی پرتو پرواز فردا بابت صورتحساب  76</t>
  </si>
  <si>
    <t>1400/01/16</t>
  </si>
  <si>
    <t>حواله ساتنا به حساب IR89 0120 0000 0000 4627 2126 77 نزد بانک ملت به نام شرکت صنایع پند بابت خرید 1 دستگاه ترازوی پند مدل 9000 طبق پیش فاکتور ش  001494</t>
  </si>
  <si>
    <t>1400/01/17</t>
  </si>
  <si>
    <t>حواله ساتنا به حساب IR23 0180 0000 0000 0012 9212 41 نزد بانک تجارت بنام نیکان تک ایرانیان بابت تسویه صورتحساب 7257-7256-7555 خرید  BOLT و NUT و Washer پس از کسر ارزش افزوده</t>
  </si>
  <si>
    <t>حواله ساتنا به حساب IR44 0120 0000 0000 8587 1019 11 نزد بانک ملت  به نام شرکت اریس اکسین بابت مابه التفاوت وزن خرید ورق طی ف 586 و585</t>
  </si>
  <si>
    <t xml:space="preserve">حواله ساتنا به حساب IR97 0570 0404 1101 4239 4470 01   نزد بانک پاسارگاد به نام شرکت صنعتی صافیاد بابت تسویه صورت وضعیت 1 جهت تجهیزات برج خنک کننده </t>
  </si>
  <si>
    <t xml:space="preserve">واریز به شماره حساب IR81 0550 0215 8500 5278 6240 01 نزد بانک اقتصاد نوین بنام شرکت پالایش میعانات گازی آدیش جنوبی بابت تامین موجودی </t>
  </si>
  <si>
    <t xml:space="preserve">حواله ساتنا به حساب IR69 0120 0000 0000 8361 1973 85  نزد بانک ملت بنام آقای مسلم صفری بابت پرداخت صورتحساب ترخیص گمرک و انبارداری و بارنامه های حمل ش 99-1378A و 99-1380A  و 99-1381A و99-1379A  بابت محموله Roodhart 4 و heater kti 4,5  </t>
  </si>
  <si>
    <t>حواله ساتنا به حساب IR03 0190 0000 0011 2499 4690 00  نزد بانک صادرات بنام شرکت تجارت گستر سیراف سپهر بابت پرداخت کارمزد اظهار و ترخیص کوتاژ 299229-302704-289579-306679  محموله های رودهارت 4و5</t>
  </si>
  <si>
    <t>واریز به شماره حساب  1-611086-850-216 نزد بانک اقتصاد نوین شعبه اقدسیه بنام شرکت توسعه تجارت روبینا بابت هزینه اعلامیه ورود ترخیص گمرکی و تخلیه بارنامه miloex21010065  محموله 3  RMT</t>
  </si>
  <si>
    <t>واریز به شماره حساب  1-611086-850-216 نزد بانک اقتصاد نوین شعبه اقدسیه بنام شرکت توسعه تجارت روبینا بابت سپرده نقدی حق توقف اعلامیه ورود ترخیص بارنامه miloex21010065 محموله 3 RMT</t>
  </si>
  <si>
    <t>واریز سود علی الحساب از 1399/12/10 تا 1400/01/09</t>
  </si>
  <si>
    <t>واریز پایا توسط شرکت حمل ونقل بین المللی درسا ترابر آسبه نامپال</t>
  </si>
  <si>
    <t>1400/01/10</t>
  </si>
  <si>
    <t>1400/01/11</t>
  </si>
  <si>
    <t xml:space="preserve">واریز سود ماهانه منتهی به 1400/01/15 صندوق آتیه نوین </t>
  </si>
  <si>
    <t>واریزی شرکت تناوب بابت افزایش سرمایه(تسویه بدهی 98 و 99)</t>
  </si>
  <si>
    <t>واریزی از شرکت سنگ آهن رباط مرکزی بابت افزایش سرمایه</t>
  </si>
  <si>
    <t>1400/01/18</t>
  </si>
  <si>
    <t>هزینه کارمزد صدور چک پایا</t>
  </si>
  <si>
    <t>1400/01/19</t>
  </si>
  <si>
    <t>1400/01/21</t>
  </si>
  <si>
    <t>واریز به شماره حساب  1-611086-850-216 نزد بانک اقتصاد نوین شعبه اقدسیه بنام شرکت توسعه تجارت روبینا بابت هزینه اعلامیه ورود ترخیص گمرکی و تخلیه بارنامه miloex21020098  محموله 4  RMT و  Control Valve 2</t>
  </si>
  <si>
    <t>واریز به شماره حساب  1-611086-850-216 نزد بانک اقتصاد نوین شعبه اقدسیه بنام شرکت توسعه تجارت روبینا بابت سپرده نقدی حق توقف اعلامیه ورود ترخیص بارنامه miloex21020098 محموله 4 RMT و Control Valve 2</t>
  </si>
  <si>
    <t>واریز به شماره حساب  1-6110861-850-216 نزد بانک اقتصاد نوین شعبه اقدسیه بنام شرکت توسعه تجارت روبینا بابت مابه التفاوت دموراژ و هزینه اعلامیه ورود ترخیص گمرکی و تخلیه بارنامه miloex21010065  محموله 3  RMT</t>
  </si>
  <si>
    <t>1400/01/23</t>
  </si>
  <si>
    <t xml:space="preserve">
واریز به حساب  1 - 2688597 - 800 - 215 به نام آقای محسن خستو به شماره ملی 4839597987  بابت شارژ تنخواه دفتر مرکزی سال 1400 شماره 1-6 ( تا سقف 100،000،000 ریال )</t>
  </si>
  <si>
    <t>1400/01/22</t>
  </si>
  <si>
    <t>1400/01/25</t>
  </si>
  <si>
    <t xml:space="preserve">واریز  به حساب   IR36 0100 0040 0104 5104 0014 13 نزد بانک مرکزی به نام سازمان منطقه ویژه اقتصادی انرژی پارس با شناسه پرداخت  245045174220000001150000018631  بابت هزینه تعرفه خدمات عمومی سال 1398 </t>
  </si>
  <si>
    <t xml:space="preserve">
واریز به حساب  1 - 2688597 - 800 - 215 به نام آقای محسن خستو به شماره ملی 4839597987  بابت شارژ تنخواه دفتر مرکزی سال 1400 شماره 7 - 8 </t>
  </si>
  <si>
    <t>حواله ساتنا به حساب IR27 0160 0000 0000 0974 3919 93 نزد بانک کشاورزی بنام شرکت هماهنگ بار پارس بابت تسویه صورتحساب ش A21838 بابت بارنامه TJA12TRN   ترانزیت محموله 4 شرکت راژان</t>
  </si>
  <si>
    <t xml:space="preserve">چک از سایت برگشت خورد </t>
  </si>
  <si>
    <t>1400/01/28</t>
  </si>
  <si>
    <t>هزینه کارمزد صدور چک ساتنا و تائیدیه حسابرسی 1399</t>
  </si>
  <si>
    <t>1400/01/31</t>
  </si>
  <si>
    <t xml:space="preserve">
واریز به حساب  1 - 2688597 - 800 - 215 به نام آقای محسن خستو به شماره ملی 4839597987  بابت شارژ تنخواه دفتر مرکزی سال 1400 شماره 9 </t>
  </si>
  <si>
    <t>1400/02/01</t>
  </si>
  <si>
    <t>پرداخت مابه التفاوت حقوق و دستمزد اسفند ماه 1399 کارکنان شرکت پالایش میعانات گازی آدیش جنوبی طبق لیست پیوست</t>
  </si>
  <si>
    <t>پرداخت بازخرید خدمت سال 1399 کارکنان شرکت پالایش میعانات گازی آدیش جنوبی طبق لیست پیوست</t>
  </si>
  <si>
    <t>1400/02/04</t>
  </si>
  <si>
    <t>1400/02/05</t>
  </si>
  <si>
    <t xml:space="preserve">
واریز به حساب  1 - 2688597 - 800 - 215 به نام آقای محسن خستو به شماره ملی 4839597987  بابت شارژ تنخواه دفتر مرکزی سال 1400 شماره 10.11</t>
  </si>
  <si>
    <t>پرداخت بازخرید طلب مرخصی کارکنان شرکت پالایش میعانات گازی آدیش جنوبی طبق لیست پیوست</t>
  </si>
  <si>
    <t>1400/01/30</t>
  </si>
  <si>
    <t>واریزی از شرکت توسعه تجارت روبینا بابت عودت مازاد</t>
  </si>
  <si>
    <t>1400/01/29</t>
  </si>
  <si>
    <t>هزینه کارمزد شارژ بن کارت 1 نفر</t>
  </si>
  <si>
    <t>هزینه کارمزد واریز حقوق +صدور ساتنا</t>
  </si>
  <si>
    <t>1400/02/10</t>
  </si>
  <si>
    <t>واریز سود علی الحساب از 1400/01/10 تا 1400/02/09</t>
  </si>
  <si>
    <t>1400/02/07</t>
  </si>
  <si>
    <t>هزینه کارمزد واریز طلب مرخصی 7 نفر</t>
  </si>
  <si>
    <t>اصلاح هزینه کارمزد واریز طلب مرخصی 7 نفر</t>
  </si>
  <si>
    <t>حواله ساتنا به حساب IR82 0120 0000 0000 8375 6509 27 نزد بانک ملت بنام شرکت آدیش جنوبی بابت تامین موجودی</t>
  </si>
  <si>
    <t>1400/02/13</t>
  </si>
  <si>
    <t>پرداخت حقوق و دستمزد فروردین ماه 1400 کارکنان شرکت پالایش میعانات گازی آدیش جنوبی طبق لیست پیوست</t>
  </si>
  <si>
    <t>واریز به حساب 1-140372-843-110 به نام آقای محسن صفائی فراهانی بابت عودت بدهی (مابه التفاوت فروزدین 1400)</t>
  </si>
  <si>
    <t>پرداخت هزینه های مهندسی فروردین ماه 1400 کارکنان شرکت پالایش میعانات گازی آدیش جنوبی طبق لیست پیوست</t>
  </si>
  <si>
    <t xml:space="preserve">واریز سود ماهانه منتهی به 1400/02/15 صندوق آتیه نوین </t>
  </si>
  <si>
    <t>1400/02/16</t>
  </si>
  <si>
    <t>1400/02/15</t>
  </si>
  <si>
    <t>1400/02/20</t>
  </si>
  <si>
    <t>1400/02/22</t>
  </si>
  <si>
    <t xml:space="preserve">شارژ بن کارت 8 نفر از پرسنل شرکت جهت سبد کالای ماه رمضان طبق لیست پیوست </t>
  </si>
  <si>
    <t>1400/02/21</t>
  </si>
  <si>
    <t>هزینه کارمزد صدور دسته چک</t>
  </si>
  <si>
    <t>1400/02/25</t>
  </si>
  <si>
    <t>واریزی شرکت توسعه تجارت روبینا بابت عودت مازاد</t>
  </si>
  <si>
    <t>1400/02/26</t>
  </si>
  <si>
    <t>کارمزد صدور 3 فقره بن کارت اولیه پرسنل</t>
  </si>
  <si>
    <t>1400/02/27</t>
  </si>
  <si>
    <t>هزینه کارمزد شارژ بن کارت 2 نفر از پرسنل</t>
  </si>
  <si>
    <t>1400/02/28</t>
  </si>
  <si>
    <t>1400/03/01</t>
  </si>
  <si>
    <t xml:space="preserve">برداشت طی فیش ساتنا </t>
  </si>
  <si>
    <t>1400/03/02</t>
  </si>
  <si>
    <t>1400/03/08</t>
  </si>
  <si>
    <t>حواله ساتنا به حساب IR51 0110 0000 0020 0079 4320 00 نزد بانک صنعت و معدن بنام شرکت آدیش جنوبی بابت تامین موجودی</t>
  </si>
  <si>
    <t>حواله ساتنا به حساب IR38 0550 0215 8500 6381 4040 01 نزد بانک اقتصادنوین بنام شرکت سپهرمولد بابت علی الحساب ق ADSH-E-CO-GE-008</t>
  </si>
  <si>
    <t>حواله ساتنا به حساب 17 8064 IR23 0180 0000 0000 0356 نزد بانک تجارت شعبه مرکزی بنام شرکت پالایش میعانات گازی آدیش جنوبی بابت تامین موجودی</t>
  </si>
  <si>
    <t>هزینه کارمزد صدور ساتنا</t>
  </si>
  <si>
    <t>1400/03/03</t>
  </si>
  <si>
    <t>واریز سود علی الحساب از 1400/02/10 تا 1400/03/09</t>
  </si>
  <si>
    <t>1400/03/10</t>
  </si>
  <si>
    <t>چ دروجه بانک تجارت شعبه مرکزی بنام شرکت پالایش میعانات گازی آدیش جنوبی بابت تامین موجودی</t>
  </si>
  <si>
    <t>1400/03/09</t>
  </si>
  <si>
    <t>برگه ساتنا</t>
  </si>
  <si>
    <t>پرداخت حقوق و دستمزد اردیبهشت ماه 1400 کارکنان شرکت پالایش میعانات گازی آدیش جنوبی طبق لیست پیوست</t>
  </si>
  <si>
    <t>فیش برداشت نقدی</t>
  </si>
  <si>
    <t>پرداخت هزینه های مهندسی اردیبهشت ماه 1400 کارکنان شرکت پالایش میعانات گازی آدیش جنوبی طبق لیست پیوست</t>
  </si>
  <si>
    <t>واریز به حساب 1-140372-843-110 به نام آقای محسن صفائی فراهانی بابت عودت بدهی (مابه التفاوت اردیبهشت 1400)</t>
  </si>
  <si>
    <t>حواله ساتنا به حساب IR82 0120 0000 0000 8744 2172 68  نزد بانک ملت بنام شرکت سپهرمولد بابت تامین موجودی ق ADSH-E-CO-GE-008</t>
  </si>
  <si>
    <t>1400/03/11</t>
  </si>
  <si>
    <t>هزینه کارمزد صدور ساتنا + کارمزد حقوق</t>
  </si>
  <si>
    <t>فیش بنام آقایان عبد الحمید مبصری و محسن صفایی پر میشه</t>
  </si>
  <si>
    <t>1400/03/17</t>
  </si>
  <si>
    <t xml:space="preserve">واریز سود ماهانه منتهی به 1400/03/15 صندوق آتیه نوین </t>
  </si>
  <si>
    <t>1400/03/29</t>
  </si>
  <si>
    <t>1400/03/30</t>
  </si>
  <si>
    <t>هزینه کارمزد صدور ساتنا + کارمزد شارژ بن کارت 8 نفر</t>
  </si>
  <si>
    <t>1400/03/26</t>
  </si>
  <si>
    <t>هزینه کارمزد صدور 3 فقره بن کارت</t>
  </si>
  <si>
    <t xml:space="preserve">واریزی جهت افزایش سرمایه توسط سهامداران </t>
  </si>
  <si>
    <t>1400/04/02</t>
  </si>
  <si>
    <t>حواله ساتنا به حساب IR45 0180 0000 0000 0356 8064 09 نزد بانک تجارت بنام شرکت سپهرمولد بابت علی الحساب قرارداد  ADSH-E-CO-GE-008</t>
  </si>
  <si>
    <t>1400/04/05</t>
  </si>
  <si>
    <t>1400/04/08</t>
  </si>
  <si>
    <t xml:space="preserve">حواله ساتنا به حساب  IR36 0100 0040 0104 5104 0014 13 نزد بانک مرکزی به نام سازمان منطقه ویژه اقتصادی انرژی پارس بابت الحاقیه شماره 1 جهت جابجایی زمین واگذاری ،افزایش مساحت، ،مبلغ و مدت قرارداد </t>
  </si>
  <si>
    <t>انتقال طی فیش ساتنا</t>
  </si>
  <si>
    <t>1400/04/06</t>
  </si>
  <si>
    <t>1400/04/09</t>
  </si>
  <si>
    <t>واریز سود علی الحساب از 1400/03/10 تا 1400/04/09</t>
  </si>
  <si>
    <t>1400/04/10</t>
  </si>
  <si>
    <t>1400/04/12</t>
  </si>
  <si>
    <t>پرداخت هزینه های مهندسی خرداد ماه 1400 کارکنان شرکت پالایش میعانات گازی آدیش جنوبی طبق لیست پیوست</t>
  </si>
  <si>
    <t>Column2</t>
  </si>
  <si>
    <t>3873000025883322</t>
  </si>
  <si>
    <t>پرداخت حقوق و دستمزد خرداد ماه 1400 کارکنان شرکت پالایش میعانات گازی آدیش جنوبی طبق لیست پیوست</t>
  </si>
  <si>
    <t>واریز به حساب 1-140372-843-110 به نام آقای محسن صفائی فراهانی بابت عودت بدهی (مابه التفاوت خرداد 1400)</t>
  </si>
  <si>
    <t>9269000025883323</t>
  </si>
  <si>
    <t xml:space="preserve">
واریز به حساب  1 - 2688597 - 800 - 215 به نام آقای محسن خستو به شماره ملی 4839597987  بابت شارژ تنخواه دفتر مرکزی سال 1400 شماره 47-48</t>
  </si>
  <si>
    <t>7595000025883324</t>
  </si>
  <si>
    <t>5873000025883325</t>
  </si>
  <si>
    <t>واریز به حساب  1-6381404-850-215 نزد بانک اقتصادنوین بنام شرکت سپهرمولد بابت علی الحساب ق ADSH-E-CO-GE-008</t>
  </si>
  <si>
    <t>1400/04/13</t>
  </si>
  <si>
    <t>3453000025883326</t>
  </si>
  <si>
    <t>1400/04/16</t>
  </si>
  <si>
    <t xml:space="preserve">هزینه کارمزد تمبر قرارداد نما چک </t>
  </si>
  <si>
    <t xml:space="preserve">هزینه کارمزد بانکی پرداخت حقوق 9 نفر +کارمزد تمبر نما چک </t>
  </si>
  <si>
    <t>1400/04/19</t>
  </si>
  <si>
    <t>5014000025883327</t>
  </si>
  <si>
    <t>3413000025883328</t>
  </si>
  <si>
    <t>1400/04/21</t>
  </si>
  <si>
    <t>8337000025883329</t>
  </si>
  <si>
    <r>
      <rPr>
        <sz val="12"/>
        <color rgb="FFFF0000"/>
        <rFont val="B Nazanin"/>
        <charset val="178"/>
      </rPr>
      <t>شرکت آدیش جنوبی</t>
    </r>
    <r>
      <rPr>
        <sz val="12"/>
        <color theme="1"/>
        <rFont val="B Nazanin"/>
        <charset val="178"/>
      </rPr>
      <t xml:space="preserve"> جهت حواله ساتنا به حساب IR82 0120 0000 0000 8744 2172 68  نزد بانک ملت بنام شرکت سپهرمولد بابت تامین موجودی ق ADSH-E-CO-GE-008</t>
    </r>
  </si>
  <si>
    <r>
      <rPr>
        <sz val="12"/>
        <color rgb="FFFF0000"/>
        <rFont val="B Nazanin"/>
        <charset val="178"/>
      </rPr>
      <t>شرکت آدیش جنوبی</t>
    </r>
    <r>
      <rPr>
        <sz val="12"/>
        <color theme="1"/>
        <rFont val="B Nazanin"/>
        <charset val="178"/>
      </rPr>
      <t xml:space="preserve"> حواله ساتنا به حساب IR51 0110 0000 0020 0079 4320 00 نزد بانک صنعت و معدن بنام شرکت آدیش جنوبی بابت تامین موجودی </t>
    </r>
  </si>
  <si>
    <t>شرکت آدیش جنوبی جهت حواله ساتنا به حساب IR82 0120 0000 0000 8744 2172 68  نزد بانک ملت بنام شرکت سپهرمولد بابت تامین موجودی ق ADSH-E-CO-GE-008</t>
  </si>
  <si>
    <t>1400/04/22</t>
  </si>
  <si>
    <t>7458000025883330</t>
  </si>
  <si>
    <t>1760000025883331</t>
  </si>
  <si>
    <t xml:space="preserve">شرکت آدیش جنوبی جهت حواله ساتنا به حساب IR11 0200 0000 0010 0011 6220 06  نزد بانک توسعه صادرات کد 1305 بنام شرکت تولیدی و صنعتی فراسان بابت تسویه کامل ف 40010199 و 40010200  خرید لوله و اتصالات جهت TNK </t>
  </si>
  <si>
    <t>1400/04/23</t>
  </si>
  <si>
    <t>6825000025883332</t>
  </si>
  <si>
    <t>شرکت آدیش جنوبی جهت حواله ساتنا به حساب IR82 0120 0000 0000 8375 6509 27 نزد بانک ملت بنام شرکت آدیش جنوبی بابت تامین موجودی</t>
  </si>
  <si>
    <t>1400/04/27</t>
  </si>
  <si>
    <t>7480000025883333</t>
  </si>
  <si>
    <t>1400/04/20</t>
  </si>
  <si>
    <t xml:space="preserve">هزینه کارمزد ساتنا </t>
  </si>
  <si>
    <t>هزینه کارمزد ساتنا +صدور بن کارت 3 نفر</t>
  </si>
  <si>
    <t>1400/04/29</t>
  </si>
  <si>
    <t>شرکت آدیش جنوبی جهت حواله ساتنا به حساب IR36 0590 0412 0045 4405 4400 01  نزد بانک سینا بنام موسسه حسابرسی و خدمات مالی کوشا منش بابت تسویه حق الزحمه حسابرسی سال 1399 طی صورتحساب  2533</t>
  </si>
  <si>
    <t>6177000025883334</t>
  </si>
  <si>
    <t xml:space="preserve">شرکت آدیش جنوبی جهت حواله ساتنا به حساب IR19 0150 0000 0185 8300 9672 04 نزد بانک سپه به نام شرکت پرشیا سیس خاورمیانه بابت پیش فاکتور ش 493خرید آنتی ویروس </t>
  </si>
  <si>
    <t>6676000025883335</t>
  </si>
  <si>
    <t>7071000025883336</t>
  </si>
  <si>
    <t>شرکت آدیش جنوبی واریز به حساب  1-6381404-850-215 نزد بانک اقتصادنوین بنام شرکت سپهرمولد بابت علی الحساب ق ADSH-E-CO-GE-008</t>
  </si>
  <si>
    <t>1400/04/28</t>
  </si>
  <si>
    <t>1400/05/04</t>
  </si>
  <si>
    <t xml:space="preserve">
شرکت آدیش جنوبی واریز به حساب  1 - 2688597 - 800 - 215 به نام آقای محسن خستو به شماره ملی 4839597987  بابت شارژ تنخواه دفتر مرکزی سال 1400 شماره 63-65-66</t>
  </si>
  <si>
    <t>3697000025883337</t>
  </si>
  <si>
    <t>1400/05/06</t>
  </si>
  <si>
    <t>8039000025883338</t>
  </si>
  <si>
    <t>شرکت آدیش جنوبی جهت واریز به حساب  1-6381404-850-215 نزد بانک اقتصادنوین بنام شرکت سپهرمولد بابت علی الحساب ق ADSH-E-CO-GE-008</t>
  </si>
  <si>
    <t>1400/05/03</t>
  </si>
  <si>
    <t>هزینه کارمزد پایا</t>
  </si>
  <si>
    <t>1400/05/05</t>
  </si>
  <si>
    <t xml:space="preserve">
شرکت آدیش جنوبی واریز به حساب  1 - 2688597 - 800 - 215 به نام آقای محسن خستو به شماره ملی 4839597987  بابت شارژ تنخواه دفتر مرکزی سال 1400 شماره 67 -69</t>
  </si>
  <si>
    <t>1400/05/09</t>
  </si>
  <si>
    <t>9536000025883339</t>
  </si>
  <si>
    <t>حواله ساتنا به حساب IR56 0120 0000 0000 5660 0800 38 نزد بانک ملت بنام آقای وحید نجاری با کد ملی 0072382831 بابت تسویه کامل ف 13 خرید میلگرد 12 از آهن اسکندری</t>
  </si>
  <si>
    <t xml:space="preserve">آقای وحید نجاری با کد ملی 0072382831 جهت حواله ساتنا به حساب IR56 0120 0000 0000 5660 0800 38 نزد بانک ملت بابت تسویه خرید میلگرد طبق صورتحساب 0054 از آهن اسکندری </t>
  </si>
  <si>
    <t>2155000025883340</t>
  </si>
  <si>
    <t>7408000025883341</t>
  </si>
  <si>
    <t xml:space="preserve">شرکت آدیش جنوبی جهت حواله ساتنا به حساب IR27 0120 0000 0000 4794 7826 51  نزد بانک ملت به نام شرکت مهندسی پاژ پرداز سامانه طبق ف 1457 خرید 4 عدد سوئیچ </t>
  </si>
  <si>
    <t xml:space="preserve">نمونه </t>
  </si>
  <si>
    <t>7657000025883342</t>
  </si>
  <si>
    <t>شرکت آدیش جنوبی جهت حواله ساتنا به حساب IR71 0120 0100 0000 1281 7945 86 نزد بانک ملت بنام آقای مسلم بلوچی بابت تسویه ف 400/03/م بابت خرید و حمل آب تصفیه جهت بچینگ در خرداد ماه 1400</t>
  </si>
  <si>
    <t>2055000025883343</t>
  </si>
  <si>
    <t>آقای علی بوشهری با کد ملی0322078180 جهت حواله ساتنا به حسابIR76 0180 0000 0000 3901 9439 06  نزد بانک تجارت بابت تسویه ف 279 بابت خرید کولر گازی جهت دفتر مرکزی از پارس شوفاژ</t>
  </si>
  <si>
    <t>3629000025883344</t>
  </si>
  <si>
    <t>شرکت آدیش جنوبی جهت پرداخت حقوق و دستمزد تیر ماه 1400 کارکنان شرکت پالایش میعانات گازی آدیش جنوبی طبق لیست پیوست</t>
  </si>
  <si>
    <t>شرکت آدیش جنوبی جهت واریز به حساب 1-140372-843-110 به نام آقای محسن صفائی فراهانی بابت عودت بدهی (مابه التفاوت تیر 1400)</t>
  </si>
  <si>
    <t>5465000025883345</t>
  </si>
  <si>
    <t>شرکت آدیش جنوبی جهت پرداخت هزینه های مهندسی تیر ماه 1400 کارکنان شرکت پالایش میعانات گازی آدیش جنوبی طبق لیست پیوست</t>
  </si>
  <si>
    <t>7255000025883346</t>
  </si>
  <si>
    <t>2857000025883347</t>
  </si>
  <si>
    <t xml:space="preserve">
شرکت آدیش جنوبی واریز به حساب  1 - 2688597 - 800 - 215 به نام آقای محسن خستو به شماره ملی 4839597987  بابت شارژ تنخواه دفتر مرکزی سال 1400 شماره  70-71</t>
  </si>
  <si>
    <t>3916000025883348</t>
  </si>
  <si>
    <t>1400/05/10</t>
  </si>
  <si>
    <t>3820000025883349</t>
  </si>
  <si>
    <t>1400/05/11</t>
  </si>
  <si>
    <t xml:space="preserve"> شرکت سازه فلزی تحکیم سازان با شناسه ملی 10320794185جهت حواله ساتنا به حساب IR21 0170 0000 0011 4219 8350 05 نزد بانک ملی بابت 40% پیش پرداخت قرارداد ADSH-P-PO-GE-059  تهیه استیل استراکچر  </t>
  </si>
  <si>
    <t xml:space="preserve">آقای وحید نجاری با کد ملی 0072382831 جهت حواله ساتنا به حساب IR56 0120 0000 0000 5660 0800 38 نزد بانک ملت بابت تسویه خرید میلگرد طبق صورتحساب 0055 از آهن اسکندری </t>
  </si>
  <si>
    <t>2584000025883350</t>
  </si>
  <si>
    <t>شرکت بازرگانی پترو کهن نفتان با شناسه ملی 10103436123 حواله ساتنا به حساب IR07 0120 0000 0000 1291 5046 27 نزد بانک ملت بابت خرید Pipe طبق پ ف 99/57116 جهت TNK</t>
  </si>
  <si>
    <t>8346000025883351</t>
  </si>
  <si>
    <t>8493000025883352</t>
  </si>
  <si>
    <t>شرکت تولیدی و صنعتی سیم و کابل مغان با شناسه ملی 10480033664 جهت حواله ساتنا به حساب IR35 0120 0000 0000 0013 5569 62 نزد بانک ملت بابت تسویه فاکتور ش 37175-37262-37257 خرید تجهیزات کاتدیک</t>
  </si>
  <si>
    <t>4962000025883353</t>
  </si>
  <si>
    <t xml:space="preserve">شرکت تامین تجهیزات پارت کیهان با شناسه ملی 10102463887 جهت حواله ساتنا به حساب IR63 0180 0000 0000 0154 5330 52  نزد بانک تجارت بابت 25% پیش پرداخت ق ADSH-P-PO-GE-056 </t>
  </si>
  <si>
    <t>واریز سود علی الحساب از 1400/04/10 تا 1400/05/09</t>
  </si>
  <si>
    <t>8381000025883354</t>
  </si>
  <si>
    <t>1400/05/12</t>
  </si>
  <si>
    <t>1400/05/13</t>
  </si>
  <si>
    <t>9168000025883355</t>
  </si>
  <si>
    <t>شرکت آدیش جنوبی جهت حواله ساتنا به حساب IR900560081681001066586001  نزد بانک سامان به نام شرکت آینده نگاران جهت خرید آنتی ویروس سرور طی پ ف 116904 (تمدید SSL License)</t>
  </si>
  <si>
    <t>شرکت آدیش جنوبی جهت حواله ساتنا به حساب IR21 0120 0200 0000 4421 5120 85 نزد بانک ملت به نام شرکت خدمات مسافرت هوایی پرتو پرواز فردا بابت صورتحساب 84</t>
  </si>
  <si>
    <t>4973000025883356</t>
  </si>
  <si>
    <t>8370000025883357</t>
  </si>
  <si>
    <t>6700000025883358</t>
  </si>
  <si>
    <t>3166000025883359</t>
  </si>
  <si>
    <t xml:space="preserve">شرکت آدیش جنوبی جهت حواله ساتنا به حساب IR95 0120 0000 0000 4890 0898 44 نزد بانک ملت بنام آقای سید وحید حسینی طبق فاکتور 113 بابت خرید کابل از الکترو نوین صنعت </t>
  </si>
  <si>
    <t>شرکت آدیش جنوبی حواله ساتنا به حساب IR73 0170 0000 0011 1371 6220 02  نزد بانک ملی به نام شرکت کاریز هیدرو سازه گیل بابت تسویه فاکتور 2379 -2398خرید ژئو ممبرین</t>
  </si>
  <si>
    <t>1400/05/16</t>
  </si>
  <si>
    <t>شرکت فنی مهندسی پارس کنترل سپاهان به شناسه ملی 010860425860 جهت حواله ساتنا به حساب IR59 0190 0000 0010 2311 7160 05 نزد بانک صادرات بابت پرداخت 50% پیش پرداخت پیش فاکتور 1839 و 1837خرید لوله های گالوانیزه گرم</t>
  </si>
  <si>
    <t>7930000025883360</t>
  </si>
  <si>
    <t>5972000025883361</t>
  </si>
  <si>
    <t>شرکت  نیکان تک ایرانیان به شناسه ملی 10320773871حواله ساتنا به حساب IR23 0180 0000 0000 0012 9212 41 نزد بانک تجارت بابت تسویه صورتحساب 7583 و 7582 و 7584 پس از کسر پیش پرداخت  خرید  FLANGE پس از کسر ارزش افزوده</t>
  </si>
  <si>
    <t>2910000025883362</t>
  </si>
  <si>
    <t>6285000025883363</t>
  </si>
  <si>
    <t>شرکت  نیکان تک ایرانیان به شناسه ملی 10320773871حواله ساتنا به حساب IR23 0180 0000 0000 0012 9212 41 نزد بانک تجارت بابت تسویه صورتحساب 7585   خرید اتصالات TNK پس از کسر ارزش افزوده</t>
  </si>
  <si>
    <t>هزینه کارمزد صدور پایا و ساتنا</t>
  </si>
  <si>
    <t xml:space="preserve">واریز سود ماهانه منتهی به 1400/05/15 صندوق آتیه نوین </t>
  </si>
  <si>
    <t>1400/05/18</t>
  </si>
  <si>
    <t>3211000025883365</t>
  </si>
  <si>
    <t xml:space="preserve">
شرکت آدیش جنوبی واریز به حساب  1 - 2688597 - 800 - 215 به نام آقای محسن خستو به شماره ملی 4839597987  بابت شارژ تنخواه دفتر مرکزی سال 1400 شماره  72 الی 76</t>
  </si>
  <si>
    <t>7991000025883366</t>
  </si>
  <si>
    <t>شرکت آدیش جنوبی جهت واریز به حساب شماره 1-6584556-850-1202  نزد بانک اقتصادنوین بنام شرکت صنعتی و ساختمانی آیلار صنعت سبلان بابت تسویه ف 19 خرید میلگرد جهت TNK</t>
  </si>
  <si>
    <t>7409000025883367</t>
  </si>
  <si>
    <t>9024000025883368</t>
  </si>
  <si>
    <t>شرکت ریخته گری برناگداز با شناسه ملی 10103844252 جهت حواله ساتنا به حساب IR09 0180 0000 0000 0352 5514 73 نزد بانک تجارت بابت تسویه فاکتورهای ش 103-113-114 خرید کاتدیک طبق ق ADSH-P-CO-EL-002 جهت UT-INT-TNK</t>
  </si>
  <si>
    <t xml:space="preserve">واریزی بابت افزایش سرمایه توسط سهامداران </t>
  </si>
  <si>
    <t>1400/05/19</t>
  </si>
  <si>
    <t>1400/05/17</t>
  </si>
  <si>
    <t>1400/05/20</t>
  </si>
  <si>
    <t xml:space="preserve">هزینه کارمزد ابطال چک و ساتنا </t>
  </si>
  <si>
    <t xml:space="preserve">هزینه کارمزد صدور دسته چک </t>
  </si>
  <si>
    <t xml:space="preserve">واریزی از شرکت های تجارتی -توشه بر </t>
  </si>
  <si>
    <t>1188000025883369</t>
  </si>
  <si>
    <t>1400/05/23</t>
  </si>
  <si>
    <t xml:space="preserve">فیش ساتنا </t>
  </si>
  <si>
    <t>1400/05/24</t>
  </si>
  <si>
    <t>هزینه کارمزد صدور ساتنا 850</t>
  </si>
  <si>
    <t>1400/05/30</t>
  </si>
  <si>
    <t>1036000025883370</t>
  </si>
  <si>
    <t xml:space="preserve">
شرکت آدیش جنوبی واریز به حساب  1 - 2688597 - 800 - 215 به نام آقای محسن خستو به شماره ملی 4839597987  بابت شارژ تنخواه دفتر مرکزی سال 1400 شماره 77 الی 79 و ما به التفاوت قبلی</t>
  </si>
  <si>
    <t>آقای محمدرسول اسماعیلی با کد ملی 0060912707  جهت حواله ساتنا به حساب IR 85 0180 0000 0000 3308 5655 47 نزد بانک تجارت  بابت تسویه پیش ف 3250 خرید میز و فایل و ... از مبلمان اداری امیران</t>
  </si>
  <si>
    <t>3420000068315676</t>
  </si>
  <si>
    <t xml:space="preserve">واریزی مانده تنخواه آقای حمید احمدی </t>
  </si>
  <si>
    <t>1400/05/31</t>
  </si>
  <si>
    <t>6647000068315677</t>
  </si>
  <si>
    <t>2954000068315678</t>
  </si>
  <si>
    <t>5971000068315679</t>
  </si>
  <si>
    <t>6655000068315680</t>
  </si>
  <si>
    <t>6540000068315681</t>
  </si>
  <si>
    <t>7475000068315682</t>
  </si>
  <si>
    <t>8503000068315683</t>
  </si>
  <si>
    <t>شرکت آدیش جنوبی جهت حواله ساتنا به حساب IR52 0120 0000 0000 8956 4404 22 نزد بانک ملت بنام آقای کاظم بلوچی بابت تسویه ف 400/04/ک بابت خرید و حمل یخ جهت بچینگ در تیر ماه 1400</t>
  </si>
  <si>
    <t xml:space="preserve">شرکت مهندسین مشاور پی کاو به شناسه ملی 10100653470 جهت حواله ساتنا به حسابIR24 0180 0000 0000 0023 1276 60  نزد بانک تجارت بابت تسویه صورت وضعیت تائید شده ش 25  استقرار آزمایشگاه محلی جهت کنترل عملیات خاکی و بتنی طبق قرارداد ش ADISH-E-CO_CV-005 </t>
  </si>
  <si>
    <t xml:space="preserve">شرکت آدیش جنوبی جهت حواله ساتنا به حساب IR95 0120 0000 0000 4890 0898 44 نزد بانک ملت بنام آقای سید وحید حسینی طبق فاکتور 128 بابت خرید کابل و ... از الکترو نوین صنعت </t>
  </si>
  <si>
    <t>شرکت آدیش جنوبی جهت حواله ساتنا به حساب IR82 0130 1000 0000 0043 3971 41  نزد بانک رفاه به نام شرکت ترسیم گران اندیشه پویا بابت خرید کارت گرافیک طی فاکتور 1560-1472 جهت دفتر مرکزی</t>
  </si>
  <si>
    <t>شرکت نیکان تک ایرانیان به شناسه ملی 10320773871 جهت حواله ساتنا به حساب IR23 0180 0000 0000 0012 9212 41 نزد بانک تجارت بابت تسویه صورتحساب 7594 خرید FLANGE جهت CDU</t>
  </si>
  <si>
    <t>1013000068315684</t>
  </si>
  <si>
    <t>2236000068315685</t>
  </si>
  <si>
    <t>3671000068315686</t>
  </si>
  <si>
    <t>شرکت پولاد پیچ کار با شناسه ملی 10102143437 جهت حواله ساتنا به حساب  IR19 0120 0000 0000 0140 4634 17 نزد بانک ملت بابت خرید انکر بولت ف 24767</t>
  </si>
  <si>
    <t xml:space="preserve">آقای بهمن هوشمند دویج به کد ملی 1533715084 جهت حواله ساتنا به حساب IR88 0180 0000 0000 0009 7203 32  نزد بانک تجارت بابت تسویه پیش ف 621 -622  خرید پیچ و مهره از شرکت سهند فولاد </t>
  </si>
  <si>
    <t xml:space="preserve">شرکت پیشران زمهریر آسمان با شناسه ملی 10260690090 جهت حواله ساتنا به حساب IR39 0570 1311 1101 4438 5110 01 نزد بانک پاسارگاد بابت 50% پیش پرداخت خرید مخزن </t>
  </si>
  <si>
    <t>8261000068315687</t>
  </si>
  <si>
    <t>شرکت نیکان تک ایرانیان به شناسه ملی 10320773871 جهت حواله ساتنا به حساب IR23 0180 0000 0000 0012 9212 41 نزد بانک تجارت بابت تسویه صورتحساب 7593-7592-7590-7589-7591 خرید  Fitting  جهت TNK</t>
  </si>
  <si>
    <t xml:space="preserve">شرکت آدیش جنوبی جهت واریز به حساب شماره 1-6584556-850-1202  نزد بانک اقتصادنوین بنام شرکت صنعتی و ساختمانی آیلار صنعت سبلان بابت تسویه ف 20 خرید میلگرد </t>
  </si>
  <si>
    <t>شرکت آدیش جنوبی جهت حواله ساتنا به حساب IR31 0120 0000 0000 8686 8004 91 نزد بانک ملت به نام شرکت رایانه افزار خط سبز بابت تسویه ف 494 خرید CPU جهت دفترمرکزی</t>
  </si>
  <si>
    <t>8805000068315688</t>
  </si>
  <si>
    <t xml:space="preserve">شرکت طرح و ساخت نگر اندیش به شناسه ملی 10102021410حواله ساتنا به حساب IR77 0540 1054 8110 0003 135005  نزد بانک پارسیان بابت تهیه گزارش دوره ای و نظارتی تا تیر 1400طی صورتحساب 496 </t>
  </si>
  <si>
    <t>9074000068315689</t>
  </si>
  <si>
    <t>1400/06/03</t>
  </si>
  <si>
    <t>1400/06/02</t>
  </si>
  <si>
    <t>هزینه کارمزد صدور ساتنا و پایا</t>
  </si>
  <si>
    <t>7232000068315690</t>
  </si>
  <si>
    <t>شرکت نیکان تک ایرانیان به شناسه ملی 10320773871 جهت حواله ساتنا به حساب IR23 0180 0000 0000 0012 9212 41 نزد بانک تجارت بابت تسویه صورتحساب 7587 خرید Pipe جهت TNK-INT-UTL</t>
  </si>
  <si>
    <t>1400/06/06</t>
  </si>
  <si>
    <t>7448000068315691</t>
  </si>
  <si>
    <t>3081000068315692</t>
  </si>
  <si>
    <t>شرکت بازرگانی پترو کهن نفتان با شناسه ملی 10103436123 حواله ساتنا به حساب IR73 0180 0000 0000 0143 4120 16 نزد بانک تجارت بابت پیش پرداخت متریال Pipe و اکسسوری جهت -UG-INT-TNK</t>
  </si>
  <si>
    <t>شرکت غرب فلنج با شناسه ملی  10100099010 جهت حواله ساتنا به حساب IR09  0180  0000  0000  0287  5147  19 نزد بانک تجارت بابت تسویه ف 2990 خرید Flange جهت خط خوراک 18</t>
  </si>
  <si>
    <t>9227000068315693</t>
  </si>
  <si>
    <t>حواله ساتنا به حساب IR26 0160 0000 0000 0981 3039 40 نزد بانک کشاورزی بنام شرکت هماهنگ بار پارس بابت تسویه صورتحساب ش A22791 بابت بارنامه TRN 212467  هزینه ترانزیت باقیمانده KTI</t>
  </si>
  <si>
    <t>شرکت آدیش جنوبی جهت حواله ساتنا به حساب IR21 0120 0200 0000 4421 5120 85 نزد بانک ملت به نام شرکت خدمات مسافرت هوایی پرتو پرواز فردا بابت صورتحساب 85</t>
  </si>
  <si>
    <t>2890000068315694</t>
  </si>
  <si>
    <t>5715000068315695</t>
  </si>
  <si>
    <t xml:space="preserve">شرکت گلنور با شناسه ملی 10260314751 حواله ساتنا به حساب IR23 0150 0000 0082 9800 2581 11 نزد بانک سپه بابت پیش پرداخت خرید سیستم روشنایی و سوکت </t>
  </si>
  <si>
    <t>1400/06/07</t>
  </si>
  <si>
    <t>7012000068315696</t>
  </si>
  <si>
    <t>5983000068315697</t>
  </si>
  <si>
    <t xml:space="preserve">
شرکت آدیش جنوبی واریز به حساب  1 - 2688597 - 800 - 215 به نام آقای محسن خستو به شماره ملی 4839597987  بابت شارژ تنخواه دفتر مرکزی سال 1400 شماره 80 الی 84</t>
  </si>
  <si>
    <t>1400/06/08</t>
  </si>
  <si>
    <t>1400/06/09</t>
  </si>
  <si>
    <t>8191000068315698</t>
  </si>
  <si>
    <t>9747000068315699</t>
  </si>
  <si>
    <t>شرکت آدیش جنوبی جهت پرداخت حقوق و دستمزد مرداد ماه 1400 کارکنان شرکت پالایش میعانات گازی آدیش جنوبی طبق لیست پیوست</t>
  </si>
  <si>
    <t>شرکت آدیش جنوبی جهت پرداخت هزینه های مهندسی مرداد ماه 1400 کارکنان شرکت پالایش میعانات گازی آدیش جنوبی طبق لیست پیوست</t>
  </si>
  <si>
    <t>شرکت آدیش جنوبی جهت واریز به حساب 1-140372-843-110 به نام آقای محسن صفائی فراهانی بابت عودت بدهی (مابه التفاوت مرداد 1400)</t>
  </si>
  <si>
    <t>9649000068315700</t>
  </si>
  <si>
    <t>4339000068315701</t>
  </si>
  <si>
    <t>8271000068315702</t>
  </si>
  <si>
    <t xml:space="preserve">آقای عباس رحیمی با کد ملی 0601266544 حواله ساتنا به حساب IR60  0120  0200  0000  1714  4834  95 نزد بانک ملت بابت تسویه فاکتور به شماره 608 جهت خرید تجهیزات تلفن از ارتباط نوین </t>
  </si>
  <si>
    <t xml:space="preserve">شرکت مهندسین مشاور پی کاو به شناسه ملی 10100653470 جهت حواله ساتنا به حسابIR24 0180 0000 0000 0023 1276 60  نزد بانک تجارت بابت تسویه صورت وضعیت تائید شده ش 26 استقرار آزمایشگاه محلی جهت کنترل عملیات خاکی و بتنی طبق قرارداد ش ADISH-E-CO_CV-005 </t>
  </si>
  <si>
    <t>1400/06/10</t>
  </si>
  <si>
    <t>6032000068315703</t>
  </si>
  <si>
    <t>2284000068315704</t>
  </si>
  <si>
    <t>1755000068315705</t>
  </si>
  <si>
    <t>شرکت گنجینه مهر پارس با شناسه ملی 10100098480 حواله ساتنا به حساب IR08 0170 0000 0010 5500 0570 02  نزد بانک ملی بابت تسویه خرید دربهای ضد حریق مربوط به ساختمان های صنعتی طبق پ ف 477</t>
  </si>
  <si>
    <t>شرکت انرژی و کیمیای ویرا با شناسه ملی 14007953403 حواله ساتنا به حساب IR20 0570 0212 8101 3691 0611 01 نزد بانک پاسارگاد بابت صورت وضعیت ش 1 انجام خدمات طراحی و مشاوره فنی و مهندسی در خصوص طراحی فرآیندی طبق ق ADSH-E-CO-GE-010</t>
  </si>
  <si>
    <t>واریز سود علی الحساب از 1400/05/10 تا 1400/06/09</t>
  </si>
  <si>
    <t>هزینه کارمزد بانکی</t>
  </si>
  <si>
    <t>اصلاح سند 30868428 تاریخ 1400/06/10</t>
  </si>
  <si>
    <t xml:space="preserve">هزینه کارمزد واریز حقوق </t>
  </si>
  <si>
    <t>اصلاح سند 50885815 تاریخ 1400/06/09 -عدم ارسال ساتنا</t>
  </si>
  <si>
    <t>واریزی از شرکت غرب فلنج بابت باقیمانده حساب</t>
  </si>
  <si>
    <t>1400/06/11</t>
  </si>
  <si>
    <t>1400/06/13</t>
  </si>
  <si>
    <t>9942000068315706</t>
  </si>
  <si>
    <t>شرکت نیکان تک ایرانیان به شناسه ملی 10320773871 جهت حواله ساتنا به حساب IR23 0180 0000 0000 0012 9212 41 نزد بانک تجارت بابت پیش پرداخت خرید Pipe جهت CDU</t>
  </si>
  <si>
    <t>8760000068315707</t>
  </si>
  <si>
    <t>4532000068315708</t>
  </si>
  <si>
    <t xml:space="preserve">شرکت آدیش جنوبی جهت حواله ساتنا به حساب IR12 0190 0000 0011 5933 2310 08  نزد بانک صادرات بنام آقای محسن صفری بابت صورتحساب ترخیص گمرک و انبارداری و بارنامه های حمل ش 1400-132A و 1400-131A بابت محموله چهارم RMT </t>
  </si>
  <si>
    <r>
      <t>شرکت آدیش جنوبی جهت حواله ساتنا به حساب I</t>
    </r>
    <r>
      <rPr>
        <sz val="12"/>
        <rFont val="B Nazanin"/>
        <charset val="178"/>
      </rPr>
      <t>R03 0190 0000 0011 2499 4690 00</t>
    </r>
    <r>
      <rPr>
        <sz val="12"/>
        <color theme="1"/>
        <rFont val="B Nazanin"/>
        <charset val="178"/>
      </rPr>
      <t xml:space="preserve">  نزد بانک صادرات بنام شرکت تجارت گستر سیراف سپهر بابت پرداخت کارمزد اظهار و ترخیص کوتاژ 324454-324463 محموله های سوم و چهارم RMT</t>
    </r>
  </si>
  <si>
    <t>6623000068315709</t>
  </si>
  <si>
    <t>1400/06/15</t>
  </si>
  <si>
    <t>2744000068315710</t>
  </si>
  <si>
    <t xml:space="preserve">شرکت لوید آلمان به شناسه 10861527562 جهت حواله ساتنا به حساب  IR48 0180 0000 0000 0083 4920 74 نزد بانک تجارت بابت تسویه ص و ش 0568-21 و 0676-21 از ق ADSH-E-CO-GE-006 خدمات مشاوره کنترل کیفیت و بازرسی فنی شخص ثالث </t>
  </si>
  <si>
    <t>8993000068315711</t>
  </si>
  <si>
    <t>شرکت گلنور با شناسه ملی 10260314751 حواله ساتنا به حساب IR23 0150 0000 0082 9800 2581 11 نزد بانک سپه بابت پیش پرداخت خرید اقلام باقیمانده بالک طبق پیشنهادات CP-99-941-03  و CP-99-940-03</t>
  </si>
  <si>
    <t>9882000068315712</t>
  </si>
  <si>
    <t>آقای بهزاد علی آبادی با کد ملی 0049226355 حواله ساتنا به حساب IR49 0570 0385 8001 0365 1691 01 نزد بانک پاسارگاد بابت پیش پرداخت خرید Elbow-Flange از استیلکو</t>
  </si>
  <si>
    <t xml:space="preserve">شرکت فنی پارس کنترل سپاهان با شناسه  10860425860 جهت حواله ساتنا به حساب IR59 0190 0000 0010 2311 7160 05 نزد بانک صادرات بابت پیش فاکتور خرید Pipe  </t>
  </si>
  <si>
    <t>3680000068315713</t>
  </si>
  <si>
    <t>1400/06/16</t>
  </si>
  <si>
    <r>
      <t xml:space="preserve">شرکت آدیش جنوبی جهت واریز به حساب  1-5278624-850-215 نزد بانک اقتصادنوین بنام شرکت </t>
    </r>
    <r>
      <rPr>
        <sz val="12"/>
        <color rgb="FFFF0000"/>
        <rFont val="B Nazanin"/>
        <charset val="178"/>
      </rPr>
      <t>آدیش جنوبی</t>
    </r>
    <r>
      <rPr>
        <sz val="12"/>
        <color theme="1"/>
        <rFont val="B Nazanin"/>
        <charset val="178"/>
      </rPr>
      <t xml:space="preserve"> بابت علی الحساب ق ADSH-E-CO-GE-008 </t>
    </r>
  </si>
  <si>
    <t>5408000068315714</t>
  </si>
  <si>
    <t xml:space="preserve">آقای عباس رحیمی با کد ملی 0601266544 جهت حواله ساتنا به حساب IR60  0120  0200  0000  1714  4834  95 نزد بانک ملت بابت تسویه فاکتور به شماره 614 جهت خرید تجهیزات تلفن از ارتباط نوین </t>
  </si>
  <si>
    <t xml:space="preserve">واریز سود ماهانه منتهی به 1400/06/15 صندوق آتیه نوین </t>
  </si>
  <si>
    <t>1400/06/20</t>
  </si>
  <si>
    <t>4494000068315715</t>
  </si>
  <si>
    <t xml:space="preserve">آقای مجید رازی با کد ملی 0079976964 حواله ساتنا به حساب IR90 0120 0200 0000 5826 5239 30 نزد بانک ملت بابت پیش ف 03ف182 خرید کتابخانه از شرکت تبلیغاتی ایده پردازان پروچیستا </t>
  </si>
  <si>
    <t>2041000068315716</t>
  </si>
  <si>
    <t>2534000068315717</t>
  </si>
  <si>
    <t>6875000068315718</t>
  </si>
  <si>
    <t xml:space="preserve">شرکت برنا الکترونیک با شناسه ملی  10101158162حواله ساتنا به حساب IR79 0170 0000 0010 6023 1320 07 نزد بانک ملی بابت تسویه ف 6847 خرید بالک متریال حفاظت کاتدیک جهت TNK-UTL </t>
  </si>
  <si>
    <t>شرکت ریخته گری برناگداز با شناسه ملی 10103844252 جهت حواله ساتنا به حساب IR09 0180 0000 0000 0352 5514 73 نزد بانک تجارت بابت تسویه فاکتورهای ش 146-147 خرید کاتدیک طبق ق ADSH-P-CO-EL-002 جهت INT-TNK</t>
  </si>
  <si>
    <t xml:space="preserve">حواله ساتنا به حساب01 6240 IR81 0550 0215 8500 5278 نزد بانک اقتصادنوین بنام شرکت پالایش میعانات گازی آدیش جنوبی بابت تامین موجودی </t>
  </si>
  <si>
    <t xml:space="preserve">شرکت لوید آلمان کیش با شناسه 10861527562 حواله ساتنا به حساب  IR48 0180 0000 0000 0083 4920 74 نزد بانک تجارت بابت تسویه ص و ش 0366-21 و 0725-21 و 0674-21 و 0575-21 و 0453-21  از ق ADSH-E-CO-GE-006 خدمات مشاوره کنترل کیفیت و بازرسی فنی شخص ثالث </t>
  </si>
  <si>
    <t>1400/06/24</t>
  </si>
  <si>
    <t>شرکت آدیش جنوبی جهت واریز به حساب 1-140372-843-110 به نام آقای محسن صفائی فراهانی بابت عودت بدهی (مابه التفاوت مرداد سایت 1400)</t>
  </si>
  <si>
    <t>2596000068315719</t>
  </si>
  <si>
    <t>1400/06/17</t>
  </si>
  <si>
    <t>1400/06/22</t>
  </si>
  <si>
    <t>1400/06/23</t>
  </si>
  <si>
    <t xml:space="preserve">هزینه کارمزد صدور دسته چک 50 برگی </t>
  </si>
  <si>
    <t>1400/07/04</t>
  </si>
  <si>
    <t>7640000068315720</t>
  </si>
  <si>
    <t xml:space="preserve">شرکت فنی پارس کنترل سپاهان با شناسه 10860425860جهت حواله ساتنا به حساب IR59 0190 0000 0010 2311 7160 05 نزد بانک صادرات بابت پیش فاکتور 1904-1945-1903 خرید سینی کابل پس از کسر پیش پرداخت </t>
  </si>
  <si>
    <t>1400/07/07</t>
  </si>
  <si>
    <t>واریز سود علی الحساب از 1400/06/10 تا 1400/07/09</t>
  </si>
  <si>
    <t>1400/07/10</t>
  </si>
  <si>
    <t>شرکت آدیش جنوبی جهت پرداخت حقوق و دستمزد شهریور ماه 1400 کارکنان شرکت پالایش میعانات گازی آدیش جنوبی طبق لیست پیوست</t>
  </si>
  <si>
    <t>شرکت آدیش جنوبی جهت پرداخت هزینه های مهندسی شهریور ماه 1400 کارکنان شرکت پالایش میعانات گازی آدیش جنوبی طبق لیست پیوست</t>
  </si>
  <si>
    <t>شرکت آدیش جنوبی جهت واریز به حساب 1-140372-843-110 به نام آقای محسن صفائی فراهانی بابت عودت بدهی (مابه التفاوت شهریور 1400)</t>
  </si>
  <si>
    <t>1400/07/11</t>
  </si>
  <si>
    <t>2975000068315721</t>
  </si>
  <si>
    <t>9168000068315722</t>
  </si>
  <si>
    <t>8920000068315723</t>
  </si>
  <si>
    <t>7915000068315724</t>
  </si>
  <si>
    <t>شرکت آدیش جنوبی جهت حواله ساتنا به حساب  IR580180000000000306827022 نزد بانک تجارت شعبه اکو بنام شرکت پالایش میعانات گازی آدیش جنوبی بابت تامین موجودی</t>
  </si>
  <si>
    <t xml:space="preserve">شرکت آدیش جنوبی با شناسه 14004653334 جهت واریز به شماره حساب 306820222  نزد بانک تجارت شعبه اکو بنام شرکت سپهرمولد بابت علی الحساب ق ADSH-E-CO-GE-008  </t>
  </si>
  <si>
    <t>1400/07/12</t>
  </si>
  <si>
    <t>6261000068315725</t>
  </si>
  <si>
    <t>1400/07/17</t>
  </si>
  <si>
    <t>2208000087925661</t>
  </si>
  <si>
    <t>1400/08/05</t>
  </si>
  <si>
    <t>شرکت آدیش جنوبی با شناسه 14004653334 جهت حواله ساتنا به حساب IR74 0130 1000 0000 0012 9000 00 نزد بانک رفاه بنام شرکت بیمه آسیا بابت قسط اول بیمه نامه مسئولیت مدنی طی شماره بیمه نامه 410551037/00/000003</t>
  </si>
  <si>
    <t>8631000011968054</t>
  </si>
  <si>
    <t>1400/07/18</t>
  </si>
  <si>
    <t xml:space="preserve">واریز سود ماهانه منتهی به 1400/07/15 صندوق آتیه نوین </t>
  </si>
  <si>
    <t>1400/07/14</t>
  </si>
  <si>
    <t>واریزی جهت افزایش سرمایه توسط سهامداران (آقای صفایی)</t>
  </si>
  <si>
    <t>1400/07/20</t>
  </si>
  <si>
    <t>شرکت بازرگانی پترو کهن نفتان با شناسه ملی 10103436123 جهت حواله ساتنا به حساب IR07 0120 0000 0000 1291 5046 27 نزد بانک ملت بابت خرید پایپ فاکتور 57123</t>
  </si>
  <si>
    <t>1400/07/21</t>
  </si>
  <si>
    <t>5680000087925663</t>
  </si>
  <si>
    <t>2075000087925664</t>
  </si>
  <si>
    <t>8137000087925665</t>
  </si>
  <si>
    <t xml:space="preserve">شرکت آدیش جنوبی با شناسه 14004653334 جهت حواله ساتنا به حساب IR37 0180 0000 0000 0306 8202 22 نزد بانک تجارت شعبه اکو بنام شرکت سپهرمولد بابت علی الحساب ق ADSH-E-CO-GE-008  </t>
  </si>
  <si>
    <t>شرکت مهندسین مشاور پی کاو به شناسه ملی 10100653470 جهت واریز به حساب 0023127660  نزد بانک تجارت بابت تسویه صورت وضعیت  ش 27 استقرار آزمایشگاه محلی جهت کنترل عملیات خاکی و بتنی طبق قرارداد ش ADISH-E-CO_CV-005  (شماره شبا IR24 0180 0000 0000 0023 1276 60)</t>
  </si>
  <si>
    <t>شرکت آدیش جنوبی با شناسه  14004653334 جهت حواله ساتنا به حساب IR82 0120 0000 0000 8744 2172 68  نزد بانک ملت بنام شرکت سپهرمولد بابت تامین موجودی ق ADSH-E-CO-GE-008</t>
  </si>
  <si>
    <t>1400/07/24</t>
  </si>
  <si>
    <t>1363000087925666</t>
  </si>
  <si>
    <t xml:space="preserve">شرکت آدیش جنوبی جهت واریز به حساب شماره 1-6584556-850-1202  نزد بانک اقتصادنوین بنام شرکت صنعتی و ساختمانی آیلار صنعت سبلان بابت تسویه ف 21-22 خرید میلگرد </t>
  </si>
  <si>
    <t>6030000087925667</t>
  </si>
  <si>
    <t>هزینه کارمزد صدور سه فقره بن کارت پرسنل آدیش</t>
  </si>
  <si>
    <t>1400/07/25</t>
  </si>
  <si>
    <t xml:space="preserve">آقای عباس رحیمی با کد ملی 0601266544 جهت حواله ساتنا به حساب IR60  0120  0200  0000  1714  4834  95 نزد بانک ملت جهت خرید تجهیزات تلفن از ارتباط نوین </t>
  </si>
  <si>
    <t>1400/07/27</t>
  </si>
  <si>
    <t>9280000087925668</t>
  </si>
  <si>
    <t>8634000087925669</t>
  </si>
  <si>
    <t>1400/07/26</t>
  </si>
  <si>
    <t>1400/07/28</t>
  </si>
  <si>
    <t>2602000087925670</t>
  </si>
  <si>
    <t>آقای امیر عباس ایماغیان با کد ملی 6649830585 جهت واریز به حساب 1-3827295-800-148 نزد بانک اقتصاد نوین بابت تسویه کامل حقوق و عیدی و بازخرید خدمت و طلب مرخصی و ... تا پایان 1400/07/01</t>
  </si>
  <si>
    <t>خانم سپیده جاپلقی با کد ملی 0015014657 جهت واریز به حساب 1-6621809-800-215 نزد بانک اقتصادنوین بابت پرداخت تسهیلات قرض الحسنه با اقساط 10 ماه طی دستور پیوست</t>
  </si>
  <si>
    <t>1069000087925671</t>
  </si>
  <si>
    <t>1400/08/01</t>
  </si>
  <si>
    <t>1400/08/04</t>
  </si>
  <si>
    <t>5157000087925672</t>
  </si>
  <si>
    <t xml:space="preserve">آقای وحید نجاری با کد ملی 0072382831 جهت حواله ساتنا به حساب IR56 0120 0000 0000 5660 0800 38 نزد بانک ملت بابت تسویه خرید پلیت طبق صورتحساب 56-57  از آهن اسکندری جهت TNK </t>
  </si>
  <si>
    <t>5217000087925673</t>
  </si>
  <si>
    <t>3690000087925674</t>
  </si>
  <si>
    <t>1400/08/08</t>
  </si>
  <si>
    <t>شرکت آدیش جنوبی جهت واریز به حساب 1-5952606-800-215 نزد بانک اقتصاد نوین بنام آقای مهدی جلالی مشایخی بابت هزینه سفر ترکیه طی دستور پیوست</t>
  </si>
  <si>
    <t xml:space="preserve">
شرکت آدیش جنوبی واریز به حساب  1 - 2688597 - 800 - 215 به نام آقای محسن خستو به شماره ملی 4839597987  بابت شارژ تنخواه دفتر مرکزی سال 1400 شماره 122-123</t>
  </si>
  <si>
    <t>2013000087925675</t>
  </si>
  <si>
    <t>شرکت آدیش جنوبی جهت پرداخت حقوق و دستمزد مهر ماه 1400 کارکنان شرکت پالایش میعانات گازی آدیش جنوبی طبق لیست پیوست</t>
  </si>
  <si>
    <t>شرکت آدیش جنوبی جهت پرداخت هزینه های مهندسی مهر ماه 1400 کارکنان شرکت پالایش میعانات گازی آدیش جنوبی طبق لیست پیوست</t>
  </si>
  <si>
    <t>شرکت آدیش جنوبی جهت واریز به حساب 1-140372-843-110 به نام آقای محسن صفائی فراهانی بابت عودت بدهی (مابه التفاوت مهر 1400)</t>
  </si>
  <si>
    <t>1820000087925676</t>
  </si>
  <si>
    <t>4029000087925677</t>
  </si>
  <si>
    <t>1889000087925678</t>
  </si>
  <si>
    <t>1400/08/10</t>
  </si>
  <si>
    <t>1975000087925679</t>
  </si>
  <si>
    <t>ده میلیارد</t>
  </si>
  <si>
    <t>شرکت بازرگانی پترو کهن نفتان با شناسه ملی 10103436123 جهت حواله ساتنا به حساب IR07 0120 0000 0000 1291 5046 27 نزد بانک ملت بابت خرید pipe -flange فاکتور 57130</t>
  </si>
  <si>
    <t>1400/08/11</t>
  </si>
  <si>
    <t>3771000100960016</t>
  </si>
  <si>
    <t>آقای بهزاد علی آبادی با کد ملی 0049226355 حواله ساتنا به حساب IR49 0570 0385 8001 0365 1691 01 نزد بانک پاسارگاد بابت خرید Flange از استیلکو</t>
  </si>
  <si>
    <t>1400/08/12</t>
  </si>
  <si>
    <t>5892000087925682</t>
  </si>
  <si>
    <t>واریز سود علی الحساب از 1400/07/10 تا 1400/08/09</t>
  </si>
  <si>
    <t>هزینه کارمزد پرداخت حقوق 10 نفر پرسنل +26 نفر پرسنل</t>
  </si>
  <si>
    <t>1400/08/13</t>
  </si>
  <si>
    <t xml:space="preserve">واریز سود ماهانه منتهی به 1400/08/15 صندوق آتیه نوین </t>
  </si>
  <si>
    <t>1400/08/16</t>
  </si>
  <si>
    <t>1400/08/17</t>
  </si>
  <si>
    <t>2921000087925683</t>
  </si>
  <si>
    <t>شرکت آدیش جنوبی جهت واریز به حساب  1-3841672-800-155 نزد بانک اقتصادنوین بنام آقای مجتبی زرافشانی بابت پرداخت تسهیلات قرض الحسنه با اقساط 3 ماه طی دستور پیوست</t>
  </si>
  <si>
    <t>7892000087925684</t>
  </si>
  <si>
    <t>9749000087925685</t>
  </si>
  <si>
    <t>شرکت پارت سازی مشهد با شناسه ملی 10380198131 جهت حواله ساتنا به حساب IR20 0170 0000 0030 2356 5250 08 نزد بانک ملی بابت پیش پرداخت خرید پیچ و مهره و استد بولت</t>
  </si>
  <si>
    <r>
      <t>شرکت پنام گویان پارس امرتات با شناسه ملی 10320320740 جهت ح</t>
    </r>
    <r>
      <rPr>
        <sz val="12"/>
        <rFont val="B Nazanin"/>
        <charset val="178"/>
      </rPr>
      <t>واله ساتنا به حساب IR25 0640 0131 0071 0314 9680 01</t>
    </r>
    <r>
      <rPr>
        <sz val="12"/>
        <color theme="1"/>
        <rFont val="B Nazanin"/>
        <charset val="178"/>
      </rPr>
      <t xml:space="preserve"> نزد بانک گردشگری بابت پیش پرداخت خرید ترانس</t>
    </r>
  </si>
  <si>
    <t>1400/08/18</t>
  </si>
  <si>
    <t>5184000087925686</t>
  </si>
  <si>
    <t>1400/08/19</t>
  </si>
  <si>
    <t>6083000087925687</t>
  </si>
  <si>
    <t>شرکت اریس اوکسین با شناسه 10103734971 جهت حواله ساتنا به حساب IR44 0120 0000 0000 8587 1019 11 نزد بانک ملت بابت خرید PLATE جهت TNK</t>
  </si>
  <si>
    <t>9250000087925688</t>
  </si>
  <si>
    <t>1400/08/22</t>
  </si>
  <si>
    <t>1400/08/23</t>
  </si>
  <si>
    <t>2284000087925689</t>
  </si>
  <si>
    <t>آقای سید محمد حسینی کیا با کد ملی 0510015662 جهت واریز به حساب  1-6461147-701-215 نزد بانک اقتصادنوین بابت پرداخت تسهیلات قرض الحسنه با اقساط 7 ماه طی دستور پیوست</t>
  </si>
  <si>
    <t>1400/08/24</t>
  </si>
  <si>
    <t>شرکت بازرگانی پترو کهن نفتان با شناسه ملی 10103436123 جهت حواله ساتنا به حساب IR07 0120 0000 0000 1291 5046 27 نزد بانک ملت بابت خرید pipe -Elbow و ... فاکتور های 57139-57140-57144</t>
  </si>
  <si>
    <t>1400/08/25</t>
  </si>
  <si>
    <t>6360000087925690</t>
  </si>
  <si>
    <t>شرکت خبرگان بین المللی تهران با شناسه 10102518676 جهت حواله ساتنا به حساب  IR22 0180 0000 0000 2311 0829 92  نزد بانک تجارت بابت تسویه فاکتور های 25469-25466-25461-25459-خدمات مشاوره کنترل کیفیت و بازرسی فنی</t>
  </si>
  <si>
    <t>7107000087925691</t>
  </si>
  <si>
    <t>1400/08/29</t>
  </si>
  <si>
    <t>آقای بهزاد علی آبادی با کد ملی 0049226355 حواله ساتنا به حساب IR49 0570 0385 8001 0365 1691 01 نزد بانک پاسارگاد بابت خرید Flange از استیلکو ف 1999</t>
  </si>
  <si>
    <t>2590000087925692</t>
  </si>
  <si>
    <t>شرکت پولاد پیچ کار با شناسه ملی 10102143437 جهت حواله ساتنا به حساب  IR19 0120 0000 0000 0140 4634 17 نزد بانک ملت بابت خرید پیچ و مهره ف 25236-25237</t>
  </si>
  <si>
    <t>8668000087925693</t>
  </si>
  <si>
    <t>1400/08/30</t>
  </si>
  <si>
    <t>5502000087925694</t>
  </si>
  <si>
    <t>شرکت بازرگانی پترو کهن نفتان با شناسه ملی 10103436123 جهت حواله ساتنا به حساب IR07 0120 0000 0000 1291 5046 27 نزد بانک ملت بابت مابه التفاوت خرید pipe -Elbow و ... فاکتور های 57139-57140-57144</t>
  </si>
  <si>
    <t>1400/09/01</t>
  </si>
  <si>
    <t>1400/09/03</t>
  </si>
  <si>
    <t>2656000087925695</t>
  </si>
  <si>
    <t xml:space="preserve">شرکت داده کاوان هوشمند با شناسه ملی 10101876603 </t>
  </si>
  <si>
    <t>واریز سود علی الحساب از 1400/08/10 تا 1400/09/09</t>
  </si>
  <si>
    <t>1400/09/10</t>
  </si>
  <si>
    <t xml:space="preserve">واریزی از طرف آقای محسن صفائی فراهانی جهت تامین موجودی شرکت داده کاوان هوشمند </t>
  </si>
  <si>
    <t>شرکت آدیش جنوبی جهت پرداخت هزینه های مهندسی آبان  ماه 1400 کارکنان شرکت پالایش میعانات گازی آدیش جنوبی طبق لیست پیوست</t>
  </si>
  <si>
    <t>1400/09/14</t>
  </si>
  <si>
    <t>4584000087925696</t>
  </si>
  <si>
    <t>2213000087925697</t>
  </si>
  <si>
    <t>3817000087925698</t>
  </si>
  <si>
    <t>6374000087925699</t>
  </si>
  <si>
    <t>شرکت آدیش جنوبی جهت پرداخت حقوق و دستمزد آبان ماه 1400 کارکنان شرکت پالایش میعانات گازی آدیش جنوبی طبق لیست پیوست</t>
  </si>
  <si>
    <t>شرکت آدیش جنوبی جهت واریز به حساب 1-140372-843-110 به نام آقای محسن صفائی فراهانی بابت عودت بدهی (مابه التفاوت آبان 1400)</t>
  </si>
  <si>
    <t xml:space="preserve">شرکت آدیش جنوبی جهت حواله ساتنا به حساب01 6240 IR81 0550 0215 8500 5278 نزد بانک اقتصادنوین بنام شرکت پالایش میعانات گازی آدیش جنوبی بابت تامین موجودی </t>
  </si>
  <si>
    <t>هزینه کارمزد ابطال چک</t>
  </si>
  <si>
    <t>1400/09/15</t>
  </si>
  <si>
    <t xml:space="preserve">هزینه کارمزد پرداخت حقوق 26 نفر پرسنل + 9 نفر پرسنل </t>
  </si>
  <si>
    <t>1400/09/13</t>
  </si>
  <si>
    <t>پرداخت مابه التفاوت سود قطعی 1399</t>
  </si>
  <si>
    <t>1400/09/20</t>
  </si>
  <si>
    <t>شرکت خبرگان بین المللی تهران با شناسه 10102518676 جهت حواله ساتنا به حساب  IR22 0180 0000 0000 2311 0829 92  نزد بانک تجارت بابت تسویه فاکتور های 26156-26155-26153-26148 خدمات مشاوره کنترل کیفیت و بازرسی فنی</t>
  </si>
  <si>
    <t>1636000087925700</t>
  </si>
  <si>
    <t xml:space="preserve">شرکت مهندسین مشاور پی کاو به شناسه ملی 10100653470 جهت حواله ساتنا به حسابIR24 0180 0000 0000 0023 1276 60  نزد بانک تجارت بابت تسویه ص و ش 28 استقرار آزمایشگاه محلی جهت کنترل عملیات خاکی و بتنی طبق ق ش ADISH-E-CO_CV-005 </t>
  </si>
  <si>
    <t xml:space="preserve">واریز سود ماهانه منتهی به 1400/09/15 صندوق آتیه نوین </t>
  </si>
  <si>
    <t>1400/09/16</t>
  </si>
  <si>
    <t>1400/09/21</t>
  </si>
  <si>
    <t>شرکت دقیق سازان آراز با شناسه 10320828466 حواله ساتنا به حسابIR92 0570 3302 1101 4392 2850 01 نزد بانک پاسارگاد بابت پیش پرداخت خرید  Pipe جهت LPG-INT</t>
  </si>
  <si>
    <t>9280000087925701</t>
  </si>
  <si>
    <t>شرکت ساخت تجهیزات برقی لنا یزد با شناسه ملی 10840073424جهت حواله ساتنا به حساب IR26 0180 0000 0000 2073 0476 36  نزد بانک تجارت بابت خرید تابلو برق جهت s55-s35</t>
  </si>
  <si>
    <t>8289000087925702</t>
  </si>
  <si>
    <t>آقای طالب ثامری با کد ملی 0453504310 جهت واریز به حساب 1-6803302-800-215 نزد بانک اقتصاد نوین بابت تسویه کامل حقوق و عیدی و بازخرید خدمت و طلب مرخصی و ... تا پایان 1400/09/21</t>
  </si>
  <si>
    <t>1400/09/23</t>
  </si>
  <si>
    <t>5143000087925703</t>
  </si>
  <si>
    <t>1400/09/22</t>
  </si>
  <si>
    <t xml:space="preserve">شرکت مهندسین مشاور پی کاو به شناسه ملی 10100653470 جهت حواله ساتنا به حسابIR24 0180 0000 0000 0023 1276 60  نزد بانک تجارت بابت تسویه ص و ش 29 استقرار آزمایشگاه محلی جهت کنترل عملیات خاکی و بتنی طبق ق ش ADISH-E-CO_CV-005 </t>
  </si>
  <si>
    <t>1400/09/24</t>
  </si>
  <si>
    <t>1674000087925704</t>
  </si>
  <si>
    <t>1400/09/27</t>
  </si>
  <si>
    <t>9338000087925705</t>
  </si>
  <si>
    <t>شرکت آدیش جنوبی جهت پرداخت شارژ بن کارت هدیه تولد 1 نفر از پرسنل شرکت آدیش جنوبی طبق لیست پیوست</t>
  </si>
  <si>
    <t>4307000087925706</t>
  </si>
  <si>
    <t xml:space="preserve">شرکت آدیش جنوبی جهت شارژ بن کارت های 9 نفر از پرسنل شرکت بابت شب یلدا طبق لیست پیوست </t>
  </si>
  <si>
    <t>9550000087925707</t>
  </si>
  <si>
    <t xml:space="preserve">شرکت آدیش جنوبی جهت تسویه حساب حقوق آقای ایماغیان </t>
  </si>
  <si>
    <t xml:space="preserve">هزینه کارمزد صدور بن کارت 8 نفر </t>
  </si>
  <si>
    <t>1400/09/29</t>
  </si>
  <si>
    <t>اصلاح سند 30367680 تاریخ 1400/09/27</t>
  </si>
  <si>
    <t xml:space="preserve">هزینه کارمزد شارژ بن کارت 9 نفر پرسنل </t>
  </si>
  <si>
    <t xml:space="preserve">هزینه کارمزد شارژ بن کارت 6 نفر پرسنل </t>
  </si>
  <si>
    <t>7834000087925708</t>
  </si>
  <si>
    <t>1400/09/30</t>
  </si>
  <si>
    <t xml:space="preserve"> خانم زینب امین زاده با کد ملی 0080098940 جهت واریز به حساب 1-5942198-800-215 نزد بانک اقتصاد نوین بابت تسویه کامل حقوق و عیدی و بازخرید خدمت و طلب مرخصی سال 99 و 1400 تا پایان 1400/09/01</t>
  </si>
  <si>
    <t>1400/10/01</t>
  </si>
  <si>
    <t>8925000087925709</t>
  </si>
  <si>
    <t>آقای محمود بخشی با کد ملی 1672459362 جهت واریز به حساب  1-6828293-800-176 نزد بانک اقتصادنوین بابت پرداخت تسهیلات قرض الحسنه با اقساط 10 ماه طی دستور پیوست</t>
  </si>
  <si>
    <t xml:space="preserve">هزینه کارمزد تحویل دسته چک </t>
  </si>
  <si>
    <t xml:space="preserve">هزینه تمبر قرارداد بابت تغییر مهر شرکت </t>
  </si>
  <si>
    <t xml:space="preserve">اصلاح سند 50410805 تاریخ 1400/10/06 اشتباه در حساب بدهکار </t>
  </si>
  <si>
    <t>1400/10/06</t>
  </si>
  <si>
    <t>شرکت آدیش جنوبی جهت پرداخت حقوق و دستمزد آذر ماه 1400 کارکنان شرکت پالایش میعانات گازی آدیش جنوبی طبق لیست پیوست</t>
  </si>
  <si>
    <t>شرکت آدیش جنوبی جهت پرداخت هزینه های مهندسی آذر ماه 1400 کارکنان شرکت پالایش میعانات گازی آدیش جنوبی طبق لیست پیوست</t>
  </si>
  <si>
    <t>1400/10/07</t>
  </si>
  <si>
    <t>3265000087925710</t>
  </si>
  <si>
    <t>021801</t>
  </si>
  <si>
    <t>5898000137275326</t>
  </si>
  <si>
    <t>شرکت آدیش جنوبی جهت واریز به حساب 1-140372-843-110 به نام آقای محسن صفائی فراهانی بابت عودت بدهی (مابه التفاوت آذر 1400)</t>
  </si>
  <si>
    <t>021802</t>
  </si>
  <si>
    <t>4576000137275327</t>
  </si>
  <si>
    <t xml:space="preserve">واریزی عودت علی الحساب از فاتح صنعت کیمیا </t>
  </si>
  <si>
    <t>1400/10/10</t>
  </si>
  <si>
    <t>واریز سود علی الحساب از 1400/09/10 تا 1400/10/09</t>
  </si>
  <si>
    <t>1400/10/08</t>
  </si>
  <si>
    <t xml:space="preserve">هزینه کارمزد پرداخت حقوق 22 نفر پرسنل +10 نفر </t>
  </si>
  <si>
    <t xml:space="preserve">واریزی از طرف شرکت داده کاوان هوشمند با شناسه ملی 10101876603- گردش حساب آقای صفائی </t>
  </si>
  <si>
    <t>1400/10/09</t>
  </si>
  <si>
    <t>شرکت خبرگان بین المللی تهران با شناسه 10102518676 جهت حواله ساتنا به حساب  IR22 0180 0000 0000 2311 0829 92  نزد بانک تجارت بابت تسویه فاکتور های 26796-26797-26798-26799-26800-26801-26802 انجام بازرسی داخلی و خارجی</t>
  </si>
  <si>
    <t>1400/10/13</t>
  </si>
  <si>
    <t>021803</t>
  </si>
  <si>
    <t>4714000137275328</t>
  </si>
  <si>
    <t xml:space="preserve">واریز پایا از طرف آقای حمید فکری </t>
  </si>
  <si>
    <t>1400/10/11</t>
  </si>
  <si>
    <t>شرکت صنعتی آما به شناسه ملی 10100322690 جهت حواله ساتنا به حساب IR27 0180 0000 0000 0353 0509 90  نزد بانک تجارت بابت خرید الکترود طی پ ف 6927</t>
  </si>
  <si>
    <t>1400/10/18</t>
  </si>
  <si>
    <t>021804</t>
  </si>
  <si>
    <t>4134000137275329</t>
  </si>
  <si>
    <t xml:space="preserve">واریز سود ماهانه منتهی به 1400/10/15 صندوق آتیه نوین </t>
  </si>
  <si>
    <t>1400/10/19</t>
  </si>
  <si>
    <t>021805</t>
  </si>
  <si>
    <t>6531000137275330</t>
  </si>
  <si>
    <t xml:space="preserve">شرکت اریس اوکسین با شناسه 10103734971جهت حواله ساتنا به حساب IR44 0120 0000 0000 8587 1019 11 نزد بانک ملت بابت پ پ خرید PLATE </t>
  </si>
  <si>
    <t>021806</t>
  </si>
  <si>
    <t>1400/10/20</t>
  </si>
  <si>
    <t>4996000137275331</t>
  </si>
  <si>
    <t>شرکت بازرگانی پترو کهن نفتان با شناسه ملی 10103436123جهت حواله ساتنا به حساب IR07 0120 0000 0000 1291 5046 27 نزد بانک ملت بابت خرید Elbow و ... طی ف 57172-57171</t>
  </si>
  <si>
    <t>021807</t>
  </si>
  <si>
    <t xml:space="preserve">شرکت آدیش جنوبی جهت حواله ساتنا به حساب IR37 0180 0000 0000 0306 8202 22 نزد بانک تجارت بنام شرکت سپهرمولد بابت علی الحساب ق ADSH-E-CO-GE-008  </t>
  </si>
  <si>
    <t>8842000137275332</t>
  </si>
  <si>
    <t>1400/10/21</t>
  </si>
  <si>
    <t>1400/10/22</t>
  </si>
  <si>
    <t>اصلاح سند 30104878 تاریخ 1400/10/22</t>
  </si>
  <si>
    <t>1400/10/27</t>
  </si>
  <si>
    <t xml:space="preserve">هزینه کارمزد صدور 5 عدد بن کارت </t>
  </si>
  <si>
    <t>1400/10/29</t>
  </si>
  <si>
    <t>021808</t>
  </si>
  <si>
    <t>6627000137275333</t>
  </si>
  <si>
    <t xml:space="preserve">شرکت مهندسین مشاور پی کاو به شناسه ملی 10100653470 جهت حواله ساتنا به حسابIR24 0180 0000 0000 0023 1276 60  نزد بانک تجارت بابت ص و ش 30 استقرار آزمایشگاه محلی جهت کنترل عملیات خاکی و بتنی طبق ق ADISH-E-CO_CV-005 </t>
  </si>
  <si>
    <t xml:space="preserve">شرکت آدیش جنوبی جهت شارژ بن کارت های3 نفر از پرسنل شرکت بابت هدیه روز زن طبق لیست پیوست </t>
  </si>
  <si>
    <t>021809</t>
  </si>
  <si>
    <t>4740000137275334</t>
  </si>
  <si>
    <t>021810</t>
  </si>
  <si>
    <t>1400/11/05</t>
  </si>
  <si>
    <t>7847000137275335</t>
  </si>
  <si>
    <t>خانم سپیده بیاتی با کد ملی 2659584060 جهت واریز به حساب  1-5250821-800-215 نزد بانک اقتصادنوین بابت پرداخت تسهیلات قرض الحسنه با اقساط 10 ماه طی دستور پیوست</t>
  </si>
  <si>
    <t>021811</t>
  </si>
  <si>
    <t>021812</t>
  </si>
  <si>
    <t>1400/11/06</t>
  </si>
  <si>
    <t>021813</t>
  </si>
  <si>
    <t>شرکت آدیش جنوبی جهت پرداخت حقوق و دستمزد دی ماه 1400 کارکنان شرکت پالایش میعانات گازی آدیش جنوبی طبق لیست پیوست</t>
  </si>
  <si>
    <t>شرکت آدیش جنوبی جهت پرداخت هزینه های مهندسی دی ماه 1400 کارکنان شرکت پالایش میعانات گازی آدیش جنوبی طبق لیست پیوست</t>
  </si>
  <si>
    <t>شرکت آدیش جنوبی جهت واریز به حساب 1-140372-843-110 به نام آقای محسن صفائی فراهانی بابت عودت بدهی (مابه التفاوت دی 1400)</t>
  </si>
  <si>
    <t>4252000137275336</t>
  </si>
  <si>
    <t>2838000137275337</t>
  </si>
  <si>
    <t>9553000137275338</t>
  </si>
  <si>
    <t>1400/11/02</t>
  </si>
  <si>
    <t>هزینه کارمزد صدور پایا</t>
  </si>
  <si>
    <t>1400/11/03</t>
  </si>
  <si>
    <t>هزینه کارمزد صدور 3 نفر بن کارت پرسنل</t>
  </si>
  <si>
    <t>1400/11/09</t>
  </si>
  <si>
    <t>هزینه کارمزد حقوق 9 نفر پرسنل +25 نفر پرسنل</t>
  </si>
  <si>
    <t>واریزی از طرف شرکت آبدیس مارین بابت مانده حساب</t>
  </si>
  <si>
    <t>شرکت آدیش جنوبی جهت حواله ساتنا به حساب IR74 0530 0000 0010 0902 4266 01 نزد بانک کارآفرین به نام شرکت اطمینان تجارت خبره بابت خرید میلگرد طی ف 116</t>
  </si>
  <si>
    <t>1400/11/11</t>
  </si>
  <si>
    <t>021814</t>
  </si>
  <si>
    <t>6074000137275339</t>
  </si>
  <si>
    <t>7691000137275340</t>
  </si>
  <si>
    <t>شرکت آدیش جنوبی جهت حواله ساتنا به حساب 17 8064 IR23 0180 0000 0000 0356 نزد بانک تجارت شعبه مرکزی بنام شرکت پالایش میعانات گازی آدیش جنوبی بابت تامین موجودی</t>
  </si>
  <si>
    <t>021815</t>
  </si>
  <si>
    <t>واریز سود علی الحساب از 1400/10/10 تا 1400/11/09</t>
  </si>
  <si>
    <t>1400/11/10</t>
  </si>
  <si>
    <t>1400/11/12</t>
  </si>
  <si>
    <t>1400/11/13</t>
  </si>
  <si>
    <t>021816</t>
  </si>
  <si>
    <t>6015000137275341</t>
  </si>
  <si>
    <t>شرکت آدیش جنوبی جهت حواله ساتنا به حساب IR2801 1000 0000 1000 0286 1007 نزد بانک صنعت و معدن بنام شرکت بازرسی فنی بابت علی الحساب هزینه بازرسی فنی طی نامه ش 91672</t>
  </si>
  <si>
    <t>اصلاح سند 30545932 تاریخ 1400/11/13</t>
  </si>
  <si>
    <t>1400/11/16</t>
  </si>
  <si>
    <t>5247000137275342</t>
  </si>
  <si>
    <t>021817</t>
  </si>
  <si>
    <t xml:space="preserve">آقای عباس رحیمی با کد ملی 0601266544 جهت حواله ساتنا به حساب IR60  0120  0200  0000  1714  4834  95 نزد بانک ملت جهت ارائه خدمات پشتیبانی ماه 10-11 طی ف 14001010-14001110 از ارتباط نوین </t>
  </si>
  <si>
    <t xml:space="preserve">واریز سود ماهانه منتهی به 1400/11/15 صندوق آتیه نوین </t>
  </si>
  <si>
    <t>021818</t>
  </si>
  <si>
    <t>1400/11/19</t>
  </si>
  <si>
    <t>7658000137275343</t>
  </si>
  <si>
    <t xml:space="preserve">شرکت آدیش جنوبی جهت شارژ بن کارت های 5 نفر از پرسنل شرکت بابت هدیه روز مرد طبق لیست پیوست </t>
  </si>
  <si>
    <t xml:space="preserve">شرکت مهندسین مشاور پی کاو به شناسه ملی 10100653470جهت حواله ساتنا به حسابIR24 0180 0000 0000 0023 1276 60 نزد بانک تجارت بابت ص و ش 31 طبق ق ADISH-E-CO_CV-005 </t>
  </si>
  <si>
    <t>021819</t>
  </si>
  <si>
    <t>5007000137275344</t>
  </si>
  <si>
    <t>1400/11/20</t>
  </si>
  <si>
    <t>1400/11/25</t>
  </si>
  <si>
    <t>هزینه کارمزد شارژ بن کارت پرسنل+ هزینه صدور کارمزد پایا</t>
  </si>
  <si>
    <t>شرکت آدیش جنوبی جهت پرداخت شارژ بن کارت هدیه تولد 1 نفر از پرسنل شرکت طبق لیست پیوست</t>
  </si>
  <si>
    <t>1400/11/27</t>
  </si>
  <si>
    <t>021820</t>
  </si>
  <si>
    <t>3426000137275345</t>
  </si>
  <si>
    <t>021821</t>
  </si>
  <si>
    <t>1400/12/02</t>
  </si>
  <si>
    <t xml:space="preserve"> خانم سهیلا بدرلو با کد ملی 4324591334 جهت واریز به حساب 1-6682704-800-215 نزد بانک اقتصاد نوین بابت تسویه کامل حقوق و عیدی و بازخرید خدمت و طلب مرخصی سال 99 و 1400 تا پایان 1400/10/30</t>
  </si>
  <si>
    <t>3422000137275346</t>
  </si>
  <si>
    <t>1400/12/03</t>
  </si>
  <si>
    <t xml:space="preserve">هزینه کارمزد ابطال چک </t>
  </si>
  <si>
    <t>1400/12/08</t>
  </si>
  <si>
    <t>021822</t>
  </si>
  <si>
    <t>021823</t>
  </si>
  <si>
    <t>021824</t>
  </si>
  <si>
    <t>شرکت آدیش جنوبی جهت پرداخت حقوق و دستمزد بهمن ماه 1400 کارکنان شرکت پالایش میعانات گازی آدیش جنوبی طبق لیست پیوست</t>
  </si>
  <si>
    <t>شرکت آدیش جنوبی جهت پرداخت هزینه های مهندسی بهمن ماه 1400 کارکنان شرکت پالایش میعانات گازی آدیش جنوبی طبق لیست پیوست</t>
  </si>
  <si>
    <t>شرکت آدیش جنوبی جهت واریز به حساب 1-140372-843-110 به نام آقای محسن صفائی فراهانی بابت عودت بدهی (مابه التفاوت بهمن 1400)</t>
  </si>
  <si>
    <t>4806000137275347</t>
  </si>
  <si>
    <t>5530000137275348</t>
  </si>
  <si>
    <t>2045000137275349</t>
  </si>
  <si>
    <t xml:space="preserve">شرکت آدیش جنوبی جهت حواله ساتنا به حساب IR81 0550 0215 8500 5278 6240 01 نزد بانک اقتصاد نوین بنام شرکت پالایش میعانات گازی آدیش جنوبی بابت تامین موجودی </t>
  </si>
  <si>
    <t>واریزی پایا توسط الهام تیموری (از طرف شاتل بابت فسخ قرارداد ADSL)</t>
  </si>
  <si>
    <t>واریز سود علی الحساب از 1400/11/10 تا 1400/12/09</t>
  </si>
  <si>
    <t>1400/12/10</t>
  </si>
  <si>
    <t>هزینه کارمزد صدور بن کارت آقای کشاورز</t>
  </si>
  <si>
    <t>1400/12/09</t>
  </si>
  <si>
    <t xml:space="preserve">هزینه کارمزد حقوق 22 نفر پرسنل </t>
  </si>
  <si>
    <t>1400/12/14</t>
  </si>
  <si>
    <t>021825</t>
  </si>
  <si>
    <t>8162000137275350</t>
  </si>
  <si>
    <t>شرکت آدیش جنوبی جهت پرداخت عیدی 1400 کارکنان طبق لیست پیوست</t>
  </si>
  <si>
    <t>021826</t>
  </si>
  <si>
    <t>1400/12/16</t>
  </si>
  <si>
    <t>1170000137275351</t>
  </si>
  <si>
    <t>شرکت خبرگان بین المللی تهران با شناسه 10102518676 جهت حواله ساتنا به حساب  IR22 0180 0000 0000 2311 0829 92  نزد بانک تجارت بابت تسویه 10 فقره فاکتور انجام بازرسی داخلی و خارجی</t>
  </si>
  <si>
    <t>شرکت تولیدی و بازرگانی نیا شیمی به شناسه 10101769375 جهت حواله ساتنا به حساب IR55 0170 0000 0010 3020 7700 09 نزد بانک ملی جهت خرید رپینگ طی پ ف 1402105</t>
  </si>
  <si>
    <t>021827</t>
  </si>
  <si>
    <t>1149000137275352</t>
  </si>
  <si>
    <t xml:space="preserve">شرکت مهندسین مشاور پی کاو به شناسه ملی 10100653470جهت حواله ساتنا به حسابIR24 0180 0000 0000 0023 1276 60 نزد بانک تجارت بابت ص و ش 32 طبق ق ADISH-E-CO_CV-005 </t>
  </si>
  <si>
    <t>021828</t>
  </si>
  <si>
    <t>5755000137275353</t>
  </si>
  <si>
    <t xml:space="preserve">شرکت بازرگانی پترو کهن نفتان با شناسه ملی 10103436123جهت حواله ساتنا به حساب IR07 0120 0000 0000 1291 5046 27 نزد بانک ملت بابت خرید زانو و ... طی ف 57198 </t>
  </si>
  <si>
    <t>021829</t>
  </si>
  <si>
    <t>6213000137275354</t>
  </si>
  <si>
    <t>شرکت آدیش جنوبی جهت پرداخت شارژ بن کارت هدیه تولد 2 نفر از پرسنل شرکت طبق لیست پیوست</t>
  </si>
  <si>
    <t>021830</t>
  </si>
  <si>
    <t>8551000137275355</t>
  </si>
  <si>
    <t>021831</t>
  </si>
  <si>
    <t>8435000137275356</t>
  </si>
  <si>
    <t xml:space="preserve">شرکت آدیش جنوبی جهت واریز به حساب 1-3521110-1-117 نزد بانک اقتصاد به نام آقای مهدی دمیرچی جهت شارژ تنخواه ماموریت </t>
  </si>
  <si>
    <t>1400/12/18</t>
  </si>
  <si>
    <t>021832</t>
  </si>
  <si>
    <t>1247000137275357</t>
  </si>
  <si>
    <t>021833</t>
  </si>
  <si>
    <t>6368000137275358</t>
  </si>
  <si>
    <t>شرکت پنام گویان پارس امرتات با شناسه ملی 10320320740 جهت حواله ساتنا به حساب IR25 0640 0131 0071 0314 9680 01 نزد بانک گردشگری بابت پرداخت میانی قرارداد ADISH-P-CO-EL-004</t>
  </si>
  <si>
    <t>شرکت آدیش جنوبی جهت پرداخت حقوق و دستمزد اسفند ماه 1400 کارکنان شرکت پالایش میعانات گازی آدیش جنوبی طبق لیست پیوست</t>
  </si>
  <si>
    <t>021834</t>
  </si>
  <si>
    <t>021835</t>
  </si>
  <si>
    <t>021836</t>
  </si>
  <si>
    <t>1400/12/21</t>
  </si>
  <si>
    <t>1970000137275359</t>
  </si>
  <si>
    <t>شرکت آدیش جنوبی جهت واریز به حساب 1-140372-843-110 به نام آقای محسن صفائی فراهانی بابت عودت بدهی (مابه التفاوت اسفند 1400)</t>
  </si>
  <si>
    <t>5555000137275360</t>
  </si>
  <si>
    <t xml:space="preserve">واریز سود ماهانه منتهی به 1400/12/15 صندوق آتیه نوین </t>
  </si>
  <si>
    <t>1400/12/15</t>
  </si>
  <si>
    <t xml:space="preserve">هزینه کارمزد واریز حقوق پرسنل </t>
  </si>
  <si>
    <t xml:space="preserve">شرکت آدیش جنوبی جهت واریز به حساب 1-3827295-800-148 نزد بانک اقتصاد نوین بنام آقای امیر عباس ایماغیان بابت خرید کیف و ... طی ف 6868 از فروشگاه زعفرانیه تهران  </t>
  </si>
  <si>
    <t>1400/12/22</t>
  </si>
  <si>
    <t>6240000137275361</t>
  </si>
  <si>
    <t>021837</t>
  </si>
  <si>
    <t>4265000137275362</t>
  </si>
  <si>
    <t xml:space="preserve">شرکت آدیش جنوبی جهت واریز به حساب 1-3827295-800-148 نزد بانک اقتصاد نوین بنام آقای امیر عباس ایماغیان بابت تسویه خرید کیف و ...  از نوین ایده پوش فردا طی ف 44 </t>
  </si>
  <si>
    <t>آقای وحید نجاری با کد ملی 0072382831 جهت حواله ساتنا به حساب IR56 0120 0000 0000 5660 0800 38 نزد بانک ملت بابت خرید میلگرد و ... طی 3 فقره فاکتور 58-59 - از آهن اسکندری</t>
  </si>
  <si>
    <t>021838</t>
  </si>
  <si>
    <t>1400/12/23</t>
  </si>
  <si>
    <t>6280000137275363</t>
  </si>
  <si>
    <t>021839</t>
  </si>
  <si>
    <t>3614000137275364</t>
  </si>
  <si>
    <t>1400/12/24</t>
  </si>
  <si>
    <t xml:space="preserve">شرکت آدیش جنوبی جهت واریز به حساب 1-3827295-800-148 نزد بانک اقتصاد نوین بنام آقای امیر عباس ایماغیان بابت خرید بلیط </t>
  </si>
  <si>
    <t>021840</t>
  </si>
  <si>
    <t>شرکت آدیش جنوبی جهت حواله ساتنا به حساب IR21 0120 0200 0000 4421 5120 85 نزد بانک ملت به نام شرکت خدمات مسافرت هوایی پرتو پرواز فردا بابت ص 98</t>
  </si>
  <si>
    <t>021841</t>
  </si>
  <si>
    <t>4610000137275366</t>
  </si>
  <si>
    <t>021842</t>
  </si>
  <si>
    <t>021843</t>
  </si>
  <si>
    <t>021844</t>
  </si>
  <si>
    <t>021845</t>
  </si>
  <si>
    <t>3693000137275367</t>
  </si>
  <si>
    <t>2559000137275368</t>
  </si>
  <si>
    <t>2666000137275369</t>
  </si>
  <si>
    <t>9780000137275370</t>
  </si>
  <si>
    <t>شرکت آدیش جنوبی جهت حواله ساتنا به حساب  IR74 0120 0000 0000 4428 1696 26 نزد بانک ملت به نام شرکت حمل و نقل کهورک بار لامرد بابت پیش پرداخت خرید 750 تن سیمان فله تیپ 2 به همراه حمل جهت بچینگ طی پ ف231 و درخواست CV-225</t>
  </si>
  <si>
    <t>شرکت آدیش جنوبی جهت حواله ساتنا به حساب IR43 0150 0002 5264 4168 3808 31 نزد بانک سپه (انصار سابق) بنام خانم مرضیه هدایتی بابت ص و ش 100956 ق ADSH-P-CO-GE-014 خرید مصالح شن و ماسه جهت تولید بتن از سیراف بتن جنوب</t>
  </si>
  <si>
    <t xml:space="preserve">شرکت بازرگانی پترو کهن نفتان با شناسه ملی 10103436123جهت حواله ساتنا به حساب IR07 0120 0000 0000 1291 5046 27 نزد بانک ملت بابت خرید زانو و ... طی ف 57197 </t>
  </si>
  <si>
    <t xml:space="preserve">شرکت آدیش جنوبی جهت حواله ساتنا به حساب IR58 0540 1211 8000 0337 9380 04  بنام آقای عباس اعتمادی افشار بابت تمدید قرارداد اجاره دفتر  </t>
  </si>
  <si>
    <t>021846</t>
  </si>
  <si>
    <t>6682000099265177</t>
  </si>
  <si>
    <t>1400/12/25</t>
  </si>
  <si>
    <t>شرکت بازرگانی پترو کهن نفتان با شناسه ملی 10103436123جهت حواله ساتنا به حساب IR07 0120 0000 0000 1291 5046 27 نزد بانک ملت بابت 50% علی الحساب پ ف 57240</t>
  </si>
  <si>
    <t>هزینه کارمزد صدور ساتنا + پایا</t>
  </si>
  <si>
    <t>1400/12/26</t>
  </si>
  <si>
    <t>1401/01/16</t>
  </si>
  <si>
    <t>افتتاحیه</t>
  </si>
  <si>
    <t>1401/01/10</t>
  </si>
  <si>
    <t>واریز سود علی الحساب از 1401/12/10 تا 1401/01/19</t>
  </si>
  <si>
    <t xml:space="preserve">واریز سود ماهانه منتهی به 1401/01/15 صندوق آتیه نوین </t>
  </si>
  <si>
    <t>هزینه کارمزد تحویل دسته چک</t>
  </si>
  <si>
    <t>1401/01/15</t>
  </si>
  <si>
    <t>شرکت آدیش جنوبی جهت پرداخت مابه التفاوت حقوق و دستمزد اسفند ماه 1400 کارکنان شرکت پالایش میعانات گازی آدیش جنوبی طبق لیست پیوست</t>
  </si>
  <si>
    <t>021847</t>
  </si>
  <si>
    <t>021848</t>
  </si>
  <si>
    <t>1401/01/23</t>
  </si>
  <si>
    <t>2555000137275372</t>
  </si>
  <si>
    <t>5947000137275373</t>
  </si>
  <si>
    <t>1401/01/24</t>
  </si>
  <si>
    <t>021849</t>
  </si>
  <si>
    <t>1700000137275374</t>
  </si>
  <si>
    <t>9862000137275375</t>
  </si>
  <si>
    <t>021850</t>
  </si>
  <si>
    <t xml:space="preserve">شرکت آدیش جنوبی جهت حواله ساتنا به حساب IR74 0130 1000 0000 0012 9000 00 نزد بانک رفاه بنام شرکت بیمه آسیا بابت الحاقیه  افزایش دیه سال 1401 طی بیمه نامه شماره  410551037/00/03 </t>
  </si>
  <si>
    <t>1401/01/27</t>
  </si>
  <si>
    <t>472601</t>
  </si>
  <si>
    <t>3386000183918608</t>
  </si>
  <si>
    <t>شرکت بازرگانی پترو کهن نفتان با شناسه ملی 10103436123جهت حواله ساتنا به حساب IR07 0120 0000 0000 1291 5046 27 نزد بانک ملت بابت خرید پایپ و ... طی ف 57241 جهت CDU</t>
  </si>
  <si>
    <t>1401/01/28</t>
  </si>
  <si>
    <t>آقای وحید نجاری با کد ملی 0072382831 جهت حواله ساتنا به حساب IR56 0120 0000 0000 5660 0800 38 نزد بانک ملت بابت خرید میلگرد و ... طی پ ف 0038 -ف 58-61-62 از آهن اسکندری</t>
  </si>
  <si>
    <t>472602</t>
  </si>
  <si>
    <t>6749000183918609</t>
  </si>
  <si>
    <t>شرکت سامان اندیشه ستیا با شناسه 10320271099 جهت حواله ساتنا به حساب IR43 0560 0801 0400 1169 4500 01  بابت 50% دوم قرارداد خرید نرم افزار</t>
  </si>
  <si>
    <t>472603</t>
  </si>
  <si>
    <t>7871000183918610</t>
  </si>
  <si>
    <t xml:space="preserve">شرکت مهندسین مشاور پی کاو به شناسه ملی 10100653470جهت حواله ساتنا به حسابIR24 0180 0000 0000 0023 1276 60 نزد بانک تجارت بابت ص و ش 33 طبق ق ADISH-E-CO_CV-005 </t>
  </si>
  <si>
    <t>472604</t>
  </si>
  <si>
    <t>3519000183918611</t>
  </si>
  <si>
    <t>472605</t>
  </si>
  <si>
    <t>8495000183918612</t>
  </si>
  <si>
    <t>شرکت بهبود ره پویان آریا گستر به شناسه14007732341 جهت حواله ساتنا به حساب IR43 0120 0000 0000 8648 9431 15  نزد بانک ملت بابت خرید پایپ و فلنج طی ف 328-327</t>
  </si>
  <si>
    <t xml:space="preserve">شرکت آدیش جنوبی جهت حواله ساتنا به حساب IR95 0180 0000 0000 0306 8331 46 نزد بانک تجارت بنام شرکت سپهرمولد بابت علی الحساب ق ADSH-E-CO-GE-008  </t>
  </si>
  <si>
    <t>472606</t>
  </si>
  <si>
    <t>9227000183918613</t>
  </si>
  <si>
    <t>472607</t>
  </si>
  <si>
    <t xml:space="preserve">شرکت آدیش جنوبی جهت حواله ساتنا به حساب IR73 0180 0000 0000 03060 8332 51 نزد بانک تجارت بنام شرکت پالایش میعانات گازی آدیش جنوبی بابت تامین موجودی </t>
  </si>
  <si>
    <t>5189000183918614</t>
  </si>
  <si>
    <t>1401/01/29</t>
  </si>
  <si>
    <t>1401/02/01</t>
  </si>
  <si>
    <t>واریزی جهت افزایش سرمایه توسط آقای صحرائیان</t>
  </si>
  <si>
    <t xml:space="preserve">هزینه کارمزد صورتحساب سال جاری/سال گذشته </t>
  </si>
  <si>
    <t>1401/02/04</t>
  </si>
  <si>
    <t xml:space="preserve">هزینه کارمزد حسابرسی </t>
  </si>
  <si>
    <t xml:space="preserve">واریزی از طرف شرکت سپهر ران ترابر بابت مازاد سپرده حق توقف </t>
  </si>
  <si>
    <t>1401/02/05</t>
  </si>
  <si>
    <t>واریز سود علی الحساب از 1401/01/10 تا 1401/02/9</t>
  </si>
  <si>
    <t>1401/02/10</t>
  </si>
  <si>
    <t>واریزی جهت افزایش سرمایه توسط تناوب</t>
  </si>
  <si>
    <t>1401/02/17</t>
  </si>
  <si>
    <t>472608</t>
  </si>
  <si>
    <t>5425000183918615</t>
  </si>
  <si>
    <t>شرکت آدیش جنوبی جهت پرداخت حقوق و دستمزد فروردین ماه 1401 کارکنان شرکت پالایش میعانات گازی آدیش جنوبی طبق لیست پیوست</t>
  </si>
  <si>
    <t>شرکت آدیش جنوبی جهت پرداخت هزینه های مهندسی فروردین ماه 1401 کارکنان شرکت پالایش میعانات گازی آدیش جنوبی طبق لیست پیوست</t>
  </si>
  <si>
    <t>472609</t>
  </si>
  <si>
    <t>9543000183918616</t>
  </si>
  <si>
    <t>472610</t>
  </si>
  <si>
    <t>شرکت آدیش جنوبی جهت واریز به حساب 1-140372-843-110 به نام آقای محسن صفائی فراهانی بابت عودت بدهی (مابه التفاوت فروردین 1401)</t>
  </si>
  <si>
    <t>9240000183918617</t>
  </si>
  <si>
    <t xml:space="preserve">واریز سود ماهانه منتهی به 1401/02/15 صندوق آتیه نوین </t>
  </si>
  <si>
    <t>واریزی آقای سمیعی بابت تسویه مانده تنخواه سال 1400</t>
  </si>
  <si>
    <t>1401/02/20</t>
  </si>
  <si>
    <t>هزینه کارمزد حقوق 10 نفر+20 نفر</t>
  </si>
  <si>
    <t>شرکت بهبود ره پویان آریا گستر به شناسه14007732341 جهت حواله ساتنا به حساب IR43 0120 0000 0000 8648 9431 15  نزد بانک ملت بابت خرید پایپ و ... طی ف 328-329-330-331</t>
  </si>
  <si>
    <t>1401/02/21</t>
  </si>
  <si>
    <t>472611</t>
  </si>
  <si>
    <t>472612</t>
  </si>
  <si>
    <t>4739000183918618</t>
  </si>
  <si>
    <t>7473000183918619</t>
  </si>
  <si>
    <t xml:space="preserve">شرکت بازرگانی پترو کهن نفتان با شناسه ملی 10103436123جهت حواله ساتنا به حساب IR07 0120 0000 0000 1291 5046 27 نزد بانک ملت بابت خرید زانو و ... طی ف 01/57259 </t>
  </si>
  <si>
    <t>1401/02/25</t>
  </si>
  <si>
    <t>472613</t>
  </si>
  <si>
    <t>472614</t>
  </si>
  <si>
    <t>9021000183918620</t>
  </si>
  <si>
    <t>1782000183918621</t>
  </si>
  <si>
    <t>شرکت آدیش جنوبی جهت پرداخت بازخرید مرخصی سال 1400 کارکنان  شرکت پالایش میعانات گازی آدیش جنوبی طبق لیست پیوست</t>
  </si>
  <si>
    <t>شرکت آدیش جنوبی جهت پرداخت بازخرید سنوات سال 1400 کارکنان  شرکت پالایش میعانات گازی آدیش جنوبی طبق لیست پیوست</t>
  </si>
  <si>
    <t>472615</t>
  </si>
  <si>
    <t>472616</t>
  </si>
  <si>
    <t>472617</t>
  </si>
  <si>
    <t>4074000183918622</t>
  </si>
  <si>
    <t>خانم سپیده بیاتی با کد ملی 2659584060 جهت واریز به حساب  1-5250821-800-215 نزد بانک اقتصادنوین بابت پرداخت تسهیلات قرض الحسنه با اقساط 2 ماه طی دستور پیوست</t>
  </si>
  <si>
    <t>8862000183918623</t>
  </si>
  <si>
    <t xml:space="preserve">
شرکت آدیش جنوبی واریز به حساب  1 - 2688597 - 800 - 215 به نام آقای محسن خستو به شماره ملی 4839597987  بابت شارژ تنخواه دفتر مرکزی سال 1401 شماره 4 تا 7</t>
  </si>
  <si>
    <t>6352000183918624</t>
  </si>
  <si>
    <t>1401/02/26</t>
  </si>
  <si>
    <t>هزینه کارمزد حقوق 10  نفر</t>
  </si>
  <si>
    <t>472618</t>
  </si>
  <si>
    <t>1401/02/31</t>
  </si>
  <si>
    <t>2799000183918625</t>
  </si>
  <si>
    <t>شرکت بهبود ره پویان آریا گستر به شناسه14007732341 جهت حواله ساتنا به حساب IR43 0120 0000 0000 8648 9431 15  نزد بانک ملت بابت خرید فلنج و ... طی ف 333-334-335</t>
  </si>
  <si>
    <t>1401/03/01</t>
  </si>
  <si>
    <t>472619</t>
  </si>
  <si>
    <t>2039000183918626</t>
  </si>
  <si>
    <t>شرکت آدیش جنوبی جهت واریز به حساب  1-6828293-800-176 نزد بانک اقتصادنوین بنام آقای محمود بخشی بابت پرداخت مساعده با اقساط 3 ماه طی دستور پیوست</t>
  </si>
  <si>
    <t>472620</t>
  </si>
  <si>
    <t>2186000183918627</t>
  </si>
  <si>
    <t xml:space="preserve">شرکت آدیش جنوبی جهت واریز به حساب 1-3827295-800-148 نزد بانک اقتصاد نوین بنام آقای امیر عباس ایماغیان بابت مساعده آقای مجتبی زرافشانی </t>
  </si>
  <si>
    <t>1401/03/02</t>
  </si>
  <si>
    <t>472621</t>
  </si>
  <si>
    <t>472622</t>
  </si>
  <si>
    <t>1401/03/03</t>
  </si>
  <si>
    <t>7250000183918628</t>
  </si>
  <si>
    <t>8640000183918629</t>
  </si>
  <si>
    <t>آقای وحید نجاری با کد ملی 0072382831 جهت حواله ساتنا به حساب IR56 0120 0000 0000 5660 0800 38 نزد بانک ملت بابت خرید نبشی و ... طی ف 0063-0064 از آهن اسکندری</t>
  </si>
  <si>
    <t>1401/03/4</t>
  </si>
  <si>
    <t>1401/03/09</t>
  </si>
  <si>
    <t xml:space="preserve">شرکت اریس اوکسین با شناسه 10103734971جهت حواله ساتنا به حساب IR44 0120 0000 0000 8587 1019 11 نزد بانک ملت بابت پیش پرداخت پ ف OX-PI-A-14012-94 خرید PLATE  </t>
  </si>
  <si>
    <t>واریز سود علی الحساب از 1401/02/10 تا 1401/03/09</t>
  </si>
  <si>
    <t>1401/03/10</t>
  </si>
  <si>
    <t>472623</t>
  </si>
  <si>
    <t>8060000183918630</t>
  </si>
  <si>
    <t>472624</t>
  </si>
  <si>
    <t>472625</t>
  </si>
  <si>
    <t>472626</t>
  </si>
  <si>
    <t>4264000183918631</t>
  </si>
  <si>
    <t>7007000183918632</t>
  </si>
  <si>
    <t>6240000183918633</t>
  </si>
  <si>
    <t>2488000183918634</t>
  </si>
  <si>
    <t>شرکت آدیش جنوبی جهت پرداخت حقوق و دستمزد اردیبهشت ماه 1401 کارکنان شرکت پالایش میعانات گازی آدیش جنوبی طبق لیست پیوست</t>
  </si>
  <si>
    <t>شرکت آدیش جنوبی جهت پرداخت هزینه های مهندسی اردیبهشت ماه 1401 کارکنان شرکت پالایش میعانات گازی آدیش جنوبی طبق لیست پیوست</t>
  </si>
  <si>
    <t>شرکت آدیش جنوبی جهت واریز به حساب 1-140372-843-110 به نام آقای محسن صفائی فراهانی بابت عودت بدهی (مابه التفاوت اردیبهشت 1401)</t>
  </si>
  <si>
    <t>1401/03/11</t>
  </si>
  <si>
    <t>472627</t>
  </si>
  <si>
    <t xml:space="preserve">شرکت بهبود ره پویان آریا گستر به شناسه14007732341 جهت حواله ساتنا به حساب IR43 0120 0000 0000 8648 9431 15  نزد بانک ملت بابت خرید فلنج و ... طی ف 349 الی 356 </t>
  </si>
  <si>
    <t>1401/03/12</t>
  </si>
  <si>
    <t>هزینه کارمزد حقوق 10  نفر + 19 نفر</t>
  </si>
  <si>
    <t xml:space="preserve">واریز سود ماهانه منتهی به 1401/03/15 صندوق آتیه نوین </t>
  </si>
  <si>
    <t>واریزی جهت افزایش سرمایه توسط آقای صفائی فراهانی</t>
  </si>
  <si>
    <t>1401/03/17</t>
  </si>
  <si>
    <t>1401/03/16</t>
  </si>
  <si>
    <t xml:space="preserve">هزینه کارمزد بانکی صدور صورتحساب </t>
  </si>
  <si>
    <t>1401/03/23</t>
  </si>
  <si>
    <t>1140000183918635</t>
  </si>
  <si>
    <t xml:space="preserve">شرکت مهندسین مشاور پی کاو به شناسه ملی 10100653470جهت حواله ساتنا به حسابIR24 0180 0000 0000 0023 1276 60 نزد بانک تجارت بابت ص و ش 34-35 طبق ق ADISH-E-CO_CV-005 </t>
  </si>
  <si>
    <t>472628</t>
  </si>
  <si>
    <t>1401/03/22</t>
  </si>
  <si>
    <t>پرداخت جهت حواله ساتنا به حساب IR70 0120 0100 0000 4563 7931 93 بنام خانم محبوبه مشهور بابت گواهی محموله</t>
  </si>
  <si>
    <t>1401/03/24</t>
  </si>
  <si>
    <t>بانک اقتصاد نوین- حساب شماره 1-140372-843-110</t>
  </si>
  <si>
    <t>472629</t>
  </si>
  <si>
    <t>5692000183918636</t>
  </si>
  <si>
    <t>472630</t>
  </si>
  <si>
    <t>9402000183918637</t>
  </si>
  <si>
    <t>شرکت پنام گویان پارس امرتات با شناسه ملی 10320320740 جهت حواله ساتنا به حساب IR25 0640 0131 0071 0314 9680 01 نزد بانک گردشگری بابت 40% ف1661 قرارداد ADISH-P-CO-EL-004</t>
  </si>
  <si>
    <t>472631</t>
  </si>
  <si>
    <t>472632</t>
  </si>
  <si>
    <t>472633</t>
  </si>
  <si>
    <t>1401/03/25</t>
  </si>
  <si>
    <t>7244000183918638</t>
  </si>
  <si>
    <t>9568000183918639</t>
  </si>
  <si>
    <t>7872000183918640</t>
  </si>
  <si>
    <t xml:space="preserve">شرکت اریس اوکسین با شناسه 10103734971جهت حواله ساتنا به حساب IR44 0120 0000 0000 8587 1019 11 نزد بانک ملت بابت تسویه پ ف OX-PI-A-14013-179 خرید PLATE  </t>
  </si>
  <si>
    <t>1401/03/29</t>
  </si>
  <si>
    <t>شرکت آدیش جنوبی جهت حواله ساتنا به حساب  IR74 0120 0000 0000 4428 1696 26 نزد بانک ملت به نام شرکت حمل و نقل کهورک بار لامرد بابت پیش پرداخت خرید 500 تن سیمان فله تیپ 2 به همراه حمل جهت بچینگ طی پ ف0016-01 و درخواست CV-236</t>
  </si>
  <si>
    <t>472634</t>
  </si>
  <si>
    <t>3847000183918641</t>
  </si>
  <si>
    <t>1401/03/30</t>
  </si>
  <si>
    <t>پرداخت جهت حواله ساتنا به حساب IR60 0180 0000 0000 4624 7874 18 بنام آقای فرشید توانا بابت حقوق اردیبهشت1401</t>
  </si>
  <si>
    <t>فیش ساتنا</t>
  </si>
  <si>
    <t>1401/03/31</t>
  </si>
  <si>
    <t>1401/04/01</t>
  </si>
  <si>
    <t>472635</t>
  </si>
  <si>
    <t>1469000183918642</t>
  </si>
  <si>
    <t>9448000183918643</t>
  </si>
  <si>
    <t>472636</t>
  </si>
  <si>
    <t>1401/04/04</t>
  </si>
  <si>
    <t>شرکت بازرگانی پترو کهن نفتان با شناسه ملی 10103436123جهت حواله ساتنا به حساب IR07 0120 0000 0000 1291 5046 27 نزد بانک ملت بابت خرید زانو و ... طی ف 01/57297</t>
  </si>
  <si>
    <t>1401/04/05</t>
  </si>
  <si>
    <t xml:space="preserve">ابطال گردید </t>
  </si>
  <si>
    <t>شرکت آدیش جنوبی جهت پرداخت حقوق و دستمزد خرداد ماه 1401 کارکنان شرکت پالایش میعانات گازی آدیش جنوبی طبق لیست پیوست</t>
  </si>
  <si>
    <t>شرکت آدیش جنوبی جهت پرداخت هزینه های مهندسی خرداد ماه 1401 کارکنان شرکت پالایش میعانات گازی آدیش جنوبی طبق لیست پیوست</t>
  </si>
  <si>
    <t>شرکت آدیش جنوبی جهت واریز به حساب 1-140372-843-110 به نام آقای محسن صفائی فراهانی بابت عودت بدهی (مابه التفاوت خرداد 1401)</t>
  </si>
  <si>
    <t>472637</t>
  </si>
  <si>
    <t>472638</t>
  </si>
  <si>
    <t>472639</t>
  </si>
  <si>
    <t>472640</t>
  </si>
  <si>
    <t>1401/04/07</t>
  </si>
  <si>
    <t>فیش واریزی</t>
  </si>
  <si>
    <t>6702000183918644</t>
  </si>
  <si>
    <t>6318000183918645</t>
  </si>
  <si>
    <t>3943000183918646</t>
  </si>
  <si>
    <t>1243000183918647</t>
  </si>
  <si>
    <t>شرکت آدیش جنوبی جهت واریز به حساب 1-3521110-1-117 نزد بانک اقتصاد به نام آقای مهدی دمیرچی جهت شارژ تنخواه ماموریت بندر عباس</t>
  </si>
  <si>
    <t>1401/04/08</t>
  </si>
  <si>
    <t>شرکت صنعتی و شیمیایی رنگین زره به شناسه 10861402655جهت حواله ساتنا به حساب IR16 0120 0000 0000 1334 2874 79 نزد بانک ملت بابت پ پ خرید رنگ طی پ ف 1375</t>
  </si>
  <si>
    <t>472641</t>
  </si>
  <si>
    <t>472642</t>
  </si>
  <si>
    <t>9884000183918648</t>
  </si>
  <si>
    <t>1556000183918649</t>
  </si>
  <si>
    <t>472643</t>
  </si>
  <si>
    <t>شرکت آدیش جنوبی جهت واریز به حساب IR32 0160 0000 0000 09001 1708 98 نزد بانک کشاورزی بنام شرکت حمل و نقل بین المللی آریافرین بابت بارنامه IR/22.301 ترخیص محموله satti-اینویس 163</t>
  </si>
  <si>
    <t>نوزده میلیون و سیصد و سه هزار و نهصد ریال تمام</t>
  </si>
  <si>
    <t>8180000183918650</t>
  </si>
  <si>
    <t>واریز سود علی الحساب از 1401/03/10 تا 1401/04/09</t>
  </si>
  <si>
    <t>1401/04/10</t>
  </si>
  <si>
    <t>1401/04/11</t>
  </si>
  <si>
    <t>472644</t>
  </si>
  <si>
    <t>5870000183918651</t>
  </si>
  <si>
    <t>شرکت برنا الکترونیک با شناسه ملی 10101158162حواله ساتنا به حساب IR63 0130 1000 0000 0052 9998 04 نزد بانک رفاه بابت تسویه ف 7385 ق ADISH-P-PO-GE-072</t>
  </si>
  <si>
    <t>1401/04/13</t>
  </si>
  <si>
    <t>1401/04/14</t>
  </si>
  <si>
    <t>472645</t>
  </si>
  <si>
    <t>3827000183918652</t>
  </si>
  <si>
    <t>1401/04/15</t>
  </si>
  <si>
    <t xml:space="preserve">واریز سود ماهانه منتهی به 1401/04/15 صندوق آتیه نوین </t>
  </si>
  <si>
    <t>1401/04/16</t>
  </si>
  <si>
    <t>1401/04/20</t>
  </si>
  <si>
    <t>1401/04/21</t>
  </si>
  <si>
    <t>472646</t>
  </si>
  <si>
    <t>1163000183918653</t>
  </si>
  <si>
    <t>472647</t>
  </si>
  <si>
    <t>1401/04/22</t>
  </si>
  <si>
    <t>2789000183918654</t>
  </si>
  <si>
    <t>شرکت دقیق سازان آراز با شناسه 10320828466 حواله ساتنا به حسابIR92 0570 3302 1101 4392 2850 01 نزد بانک پاسارگاد بابت علی الحساب فاکتور های 1401003 الی 1401009</t>
  </si>
  <si>
    <t xml:space="preserve">شرکت آدیش جنوبی جهت حواله ساتنا به حساب IR76 0170 0000 0010 6240 6240 06 نزد بانک ملی بنام شرکت مجتمع گاز پارس جنوبی طی ص 01-1401 تعمیر ولو </t>
  </si>
  <si>
    <t>شرکت بازرگانی پترو کهن نفتان با شناسه ملی 10103436123جهت حواله ساتنا به حساب IR07 0120 0000 0000 1291 5046 27 نزد بانک ملت بابت خرید فلنج و زانو و ... طی ف 57318-57319</t>
  </si>
  <si>
    <t>472648</t>
  </si>
  <si>
    <t>6366000183918655</t>
  </si>
  <si>
    <t>1401/04/23</t>
  </si>
  <si>
    <t>1401/04/28</t>
  </si>
  <si>
    <t>472649</t>
  </si>
  <si>
    <t>472650</t>
  </si>
  <si>
    <t>8399000183918656</t>
  </si>
  <si>
    <t>1060000183918657</t>
  </si>
  <si>
    <t xml:space="preserve">شرکت مهندسین مشاور پی کاو به شناسه ملی 10100653470جهت حواله ساتنا به حسابIR24 0180 0000 0000 0023 1276 60 نزد بانک تجارت بابت ص و ش 36 ق ADISH-E-CO_CV-005 </t>
  </si>
  <si>
    <t xml:space="preserve">شرکت اریس اوکسین با شناسه 10103734971جهت حواله ساتنا به حساب IR44 0120 0000 0000 8587 1019 11 نزد بانک ملت بابت پیش پرداخت پ ف OX-PI-A-140143-248 خرید PLATE  </t>
  </si>
  <si>
    <t xml:space="preserve">شرکت آدیش جنوبی جهت حواله ساتنا به حساب IR89 0120 0100 0000 1800 8071 18 نزد بانک ملت بنام خانم سیده ناهید جعفری بابت خرید سیمان فله تیپ 2 طی ف 1007 </t>
  </si>
  <si>
    <t>782851</t>
  </si>
  <si>
    <t>6776010054111752</t>
  </si>
  <si>
    <t>782852</t>
  </si>
  <si>
    <t>7800010054111753</t>
  </si>
  <si>
    <t xml:space="preserve">شرکت آدیش جنوبی جهت حواله ساتنا به حساب IR74 0220 1610 0201 5411 3140 01 نزد بانک توسعه تعاون بنام آقای علی رحمانی بابت خرید ماسه بادی ص و ش 7 طی ف 47-1401 م 1401/04/10   </t>
  </si>
  <si>
    <t>782853</t>
  </si>
  <si>
    <t>2166010054111754</t>
  </si>
  <si>
    <t>782854</t>
  </si>
  <si>
    <t>782855</t>
  </si>
  <si>
    <t>9602010054111755</t>
  </si>
  <si>
    <t>9931010054111756</t>
  </si>
  <si>
    <t>782856</t>
  </si>
  <si>
    <t>1401/04/29</t>
  </si>
  <si>
    <t>4280010054111757</t>
  </si>
  <si>
    <t xml:space="preserve">شرکت طرح و ساخت نگر اندیش به شناسه ملی 10102021410حواله ساتنا به حساب IR77 0540 1054 8110 0003 135005  نزد بانک پارسیان بابت تهیه گزارش دوره ای و نظارتی تا اسفند 1400طی صورتحساب 588 </t>
  </si>
  <si>
    <t>شرکت بازرگانی پترو کهن نفتان با شناسه ملی 10103436123جهت حواله ساتنا به حساب IR07 0120 0000 0000 1291 5046 27 نزد بانک ملت بابت خرید فلنج و زانو و ... طی ف 57296-57297-57300-57316-57317-57272-57271-57261</t>
  </si>
  <si>
    <t>782857</t>
  </si>
  <si>
    <t>1401/05/01</t>
  </si>
  <si>
    <t>1756010054111758</t>
  </si>
  <si>
    <t xml:space="preserve"> شرکت سازه فلزی تحکیم سازان با شناسه ملی 10320794185جهت حواله ساتنا به حساب IR21 0170 0000 0011 4219 8350 05 نزد بانک ملی بابت 10% حسن انجام کار قرارداد ADSH-P-PO-GE-059  تهیه استیل استراکچر </t>
  </si>
  <si>
    <t>782858</t>
  </si>
  <si>
    <t>8665010054111759</t>
  </si>
  <si>
    <t>782859</t>
  </si>
  <si>
    <t>9690010054111760</t>
  </si>
  <si>
    <t>شرکت ماشین سازی شمال پیروز با شناسه 10861616086 جهت حواله ساتنا به حساب IR51 0120 0000 0000 7203 9466 78 نزد بانک ملت بابت 25% پیش پرداخت ق ADSH-P-PO-GE-085</t>
  </si>
  <si>
    <t>1401/04/26</t>
  </si>
  <si>
    <t>1401/04/02</t>
  </si>
  <si>
    <t xml:space="preserve">واریزی جهت افزایش سرمایه توسط آقای صفائی فراهانی </t>
  </si>
  <si>
    <t>1401/05/02</t>
  </si>
  <si>
    <t xml:space="preserve">شرکت آدیش جنوبی حواله ساتنا به حساب IR51 0110 0000 0020 0079 4320 00 نزد بانک صنعت و معدن بنام شرکت آدیش جنوبی بابت قسط دوم کارمزد تمدید اعتبار اسنادی ش 96109363 </t>
  </si>
  <si>
    <t>782860</t>
  </si>
  <si>
    <t>9140010054111761</t>
  </si>
  <si>
    <t>782861</t>
  </si>
  <si>
    <t>7818010054111762</t>
  </si>
  <si>
    <t>782862</t>
  </si>
  <si>
    <t>1401/05/03</t>
  </si>
  <si>
    <t>1656010054111763</t>
  </si>
  <si>
    <t>شرکت اتصالات استیل آراز با شناسه 10320828466 حواله ساتنا به حسابIR92 0570 3302 1101 4392 2850 01 نزد بانک پاسارگاد بابت ف 1401011 - 1401010</t>
  </si>
  <si>
    <t>782863</t>
  </si>
  <si>
    <t>2979010054111764</t>
  </si>
  <si>
    <t xml:space="preserve">شرکت مهندسی ظریف صنعت پیشرو به شناسه ملی 10103679604 جهت حواله ساتنا به حساب IR63 0150 0000 0310 0010 7799 18  نزد بانک سپه جهت پ پ خرید لوله و اتصالات طی ف  232-1401 و 231-1401 </t>
  </si>
  <si>
    <t>1401/05/04</t>
  </si>
  <si>
    <t>782864</t>
  </si>
  <si>
    <t>782865</t>
  </si>
  <si>
    <t>شرکت آدیش جنوبی جهت حواله ساتنا به حساب IR65 0170 0000 0011 1296 4260 00  نزد بانک ملی بنام آهن آلات نوین آرکا بابت خرید میلگرد طی ف 02720</t>
  </si>
  <si>
    <t>3770010054111765</t>
  </si>
  <si>
    <t>8947010054111766</t>
  </si>
  <si>
    <t>آقای وحید نجاری با کد ملی 0072382831 جهت حواله ساتنا به حساب IR56 0120 0000 0000 5660 0800 38 نزد بانک ملت بابت خرید ورق طی ف 1-66 و 2-66 از آهن اسکندری</t>
  </si>
  <si>
    <t xml:space="preserve">شرکت آدیش جنوبی جهت واریز به حساب  1-3028498-800-215 بنام خانم پروین صادق آبادی بابت پرداخت به شرکت روشن جام یلدا ص 1003568 </t>
  </si>
  <si>
    <t>782866</t>
  </si>
  <si>
    <t>1401/05/05</t>
  </si>
  <si>
    <t>7951010054111767</t>
  </si>
  <si>
    <t>1401/05/06</t>
  </si>
  <si>
    <t>1401/05/08</t>
  </si>
  <si>
    <t>شرکت اتصالات استیل آراز با شناسه 10320828466 حواله ساتنا به حسابIR92 0570 3302 1101 4392 2850 01 نزد بانک پاسارگاد بابت ف 1401003 الی 1401009 (دقیق سازان آراز )</t>
  </si>
  <si>
    <t>782867</t>
  </si>
  <si>
    <t>7466010054111768</t>
  </si>
  <si>
    <t>782868</t>
  </si>
  <si>
    <t>2856010054111769</t>
  </si>
  <si>
    <t>1401/05/09</t>
  </si>
  <si>
    <t>782869</t>
  </si>
  <si>
    <t>782870</t>
  </si>
  <si>
    <t>782871</t>
  </si>
  <si>
    <t>782872</t>
  </si>
  <si>
    <t>8178010054111770</t>
  </si>
  <si>
    <t>9750010054111771</t>
  </si>
  <si>
    <t>3670010054111772</t>
  </si>
  <si>
    <t>1415010054111773</t>
  </si>
  <si>
    <t>شرکت جهان عایق پارس جهت حواله ساتنا به حساب IR78 0180 0000 0000 5641 0138 99  نزد بانک تجارت بابت 30% پ پ  ق ADSH-P-PO-GE-098</t>
  </si>
  <si>
    <t>شرکت آدیش جنوبی جهت حواله ساتنا به حساب  IR74 0120 0000 0000 4428 1696 26 نزد بانک ملت به نام شرکت حمل و نقل کهورک بار لامرد بابت پ پ خرید 500 تن سیمان فله تیپ 2 به همراه حمل جهت بچینگ طی پ ف0029-01 و درخواست CV-244</t>
  </si>
  <si>
    <t>شرکت آدیش جنوبی جهت حواله ساتنا به حساب IR89 0120 0100 0000 1800 8071 18 نزد بانک ملت بنام خانم سیده ناهید جعفری بابت خرید سیمان فله تیپ 2 طی پ ف 820 (مصالح ساختمانی ساروج)</t>
  </si>
  <si>
    <t>1401/05/10</t>
  </si>
  <si>
    <t>782873</t>
  </si>
  <si>
    <t>782874</t>
  </si>
  <si>
    <t>782875</t>
  </si>
  <si>
    <t>782876</t>
  </si>
  <si>
    <t>782877</t>
  </si>
  <si>
    <t>5445010054111774</t>
  </si>
  <si>
    <t>2177010054111775</t>
  </si>
  <si>
    <t>3900010054111776</t>
  </si>
  <si>
    <t>8682010054111777</t>
  </si>
  <si>
    <t>7780010054111778</t>
  </si>
  <si>
    <t>شرکت آدیش جنوبی جهت پرداخت حقوق و دستمزد تیر ماه 1401 کارکنان شرکت پالایش میعانات گازی آدیش جنوبی طبق لیست پیوست</t>
  </si>
  <si>
    <t>شرکت آدیش جنوبی جهت پرداخت هزینه های مهندسی تیر ماه 1401 کارکنان شرکت پالایش میعانات گازی آدیش جنوبی طبق لیست پیوست</t>
  </si>
  <si>
    <t>شرکت آدیش جنوبی جهت واریز به حساب 1-140372-843-110 به نام آقای محسن صفائی فراهانی بابت عودت بدهی (مابه التفاوت تیر 1401)</t>
  </si>
  <si>
    <t>پرداخت جهت حواله ساتنا به حساب IR77 0180 0000 0000 3604 5584 75 بنام خانم ندا کوشا بابت حقوق تیر 1401</t>
  </si>
  <si>
    <t>پرداخت جهت حواله ساتنا به حساب IR69 0180 0000 0000 0279 0806 53 بنام آقای پیمان انگشتری بابت حقوق تیر 1401</t>
  </si>
  <si>
    <t>پرداخت جهت واریز به حساب  1-5014427-800-3021 بنام آقای آرش دلداده مهربان بابت حقوق تیر 1401</t>
  </si>
  <si>
    <t xml:space="preserve">شرکت آدیش جنوبی جهت حواله ساتنا IR24 0170 0000 0010 2419 0590 03 نزد بانک ملی بنام آقای آربی باغداساریانس جهت خرید ورق تفلون کربنی طی ف 3889 </t>
  </si>
  <si>
    <t>1858010054111779</t>
  </si>
  <si>
    <t>782878</t>
  </si>
  <si>
    <t>شرکت برق و تاسیسات داریان با شناسه 10101281322 جهت حواله ساتنا به حساب IR34 0540 1211 2010 0369 8196 08 نزد بانک پارسیان بابت پ پ ق ADSH-P-PO-GE-086</t>
  </si>
  <si>
    <t xml:space="preserve">شرکت ارغوان کبیر با شناسه 10860962492 جهت حواله ساتنا به حساب IR60 0180 0000 0000 1504 3698 77 نزد بانک تجارت بابت 30% پ پ خرید ساندویچ پانل </t>
  </si>
  <si>
    <t>782879</t>
  </si>
  <si>
    <t>4026010054111780</t>
  </si>
  <si>
    <t>شرکت خبرگان بین المللی تهران با شناسه 10102518676 جهت حواله ساتنا به حساب  IR22 0180 0000 0000 2311 0829 92  نزد بانک تجارت بابت 6 فقره فاکتور انجام بازرسی داخلی و خارجی</t>
  </si>
  <si>
    <t>1401/05/11</t>
  </si>
  <si>
    <t>782880</t>
  </si>
  <si>
    <t>1495010054111781</t>
  </si>
  <si>
    <t>واریز سود علی الحساب از 1401/04/10 تا 1401/05/09</t>
  </si>
  <si>
    <t>اصلاح سند 10653803 تاریخ 1401/05/09</t>
  </si>
  <si>
    <t>1401/05/12</t>
  </si>
  <si>
    <t>شرکت مهندسی بازرگانی رایتک پویا با شناسه 10103243439 جهت واریز به حساب 1-2504745-2-101  نزد بانک اقتصاد نوین بابت پ پ ق ADISH-P-PO-GE-067</t>
  </si>
  <si>
    <t>1401/05/18</t>
  </si>
  <si>
    <t>782881</t>
  </si>
  <si>
    <t>6292010054111782</t>
  </si>
  <si>
    <t xml:space="preserve">شرکت مهندسین مشاور پی کاو به شناسه ملی 10100653470جهت حواله ساتنا به حسابIR24 0180 0000 0000 0023 1276 60 نزد بانک تجارت بابت ص و ش 37 ق ADISH-E-CO_CV-005 </t>
  </si>
  <si>
    <t>782882</t>
  </si>
  <si>
    <t>1553010054111783</t>
  </si>
  <si>
    <t>782883</t>
  </si>
  <si>
    <t>1014010054111784</t>
  </si>
  <si>
    <t xml:space="preserve">شرکت پویا گستر آرتا صنعت با شناسه ملی 14010567973 جهت حواله ساتنا به حساب IR67 0120 0000 0000 9520 8472 62 نزد بانک ملت بابت خرید تجهیزات طی ف 51-52 </t>
  </si>
  <si>
    <t>782884</t>
  </si>
  <si>
    <t>2039010054111785</t>
  </si>
  <si>
    <t>شرکت صنعتی و شیمیایی رنگین زره به شناسه 10861402655جهت حواله ساتنا به حساب IR16 0120 0000 0000 1334 2874 79 نزد بانک ملت بابت خرید آستری اپوکسی طی ف 7077-7021</t>
  </si>
  <si>
    <t>782885</t>
  </si>
  <si>
    <t>2325010054111786</t>
  </si>
  <si>
    <t>شرکت ساخت تجهیزات برقی لنا یزد با شناسه ملی 10840073424جهت حواله ساتنا به حساب IR26 0180 0000 0000 2073 0476 36  نزد بانک تجارت بابت تسویه نهایی خرید تابلو برق ق ADSH-P-PO-GE-057</t>
  </si>
  <si>
    <t>782886</t>
  </si>
  <si>
    <t>782887</t>
  </si>
  <si>
    <t>4915010054111787</t>
  </si>
  <si>
    <t>3823010054111788</t>
  </si>
  <si>
    <t xml:space="preserve">شرکت تولیدی پی ای اس به شناسه ملی 10100878901 جهت حواله ساتنا به حساب IR32 0180 0000 0000 1418 0880 08 نزد بانک تجارت بابت پرداخت اصل و جریمه VAT سال 1399 ق ADSH-P-PO-GE-026 </t>
  </si>
  <si>
    <t xml:space="preserve">شرکت تولیدی پی ای اس به شناسه ملی 10100878901 جهت حواله ساتنا به حساب IR32 0180 0000 0000 1418 0880 08 نزد بانک تجارت بابت پرداخت اصل و جریمه VAT سال 1398 ق ADSH-P-PO-GE-026 </t>
  </si>
  <si>
    <t>782888</t>
  </si>
  <si>
    <t>1401/05/19</t>
  </si>
  <si>
    <t>8014010054111789</t>
  </si>
  <si>
    <t>شرکت آدیش جنوبی جهت واریز به حساب 1-3028498-800-215 بنام خانم پروین صادق آبادی بابت پرداخت به شرکت ایرسا مارین جهت هزینه ترخیصیه محموله Pedinco اینویس 168 بارنامه ش IR/22/407G</t>
  </si>
  <si>
    <t xml:space="preserve">واریز سود ماهانه منتهی به 1401/05/19 صندوق آتیه نوین </t>
  </si>
  <si>
    <t>782889</t>
  </si>
  <si>
    <t>1401/05/22</t>
  </si>
  <si>
    <t>5626010054111790</t>
  </si>
  <si>
    <t>1401/05/23</t>
  </si>
  <si>
    <t>1401/05/24</t>
  </si>
  <si>
    <t>782890</t>
  </si>
  <si>
    <t>8177010054111791</t>
  </si>
  <si>
    <t>1401/05/25</t>
  </si>
  <si>
    <t>واریز مابه التفاوت سود قطعی سال 1400</t>
  </si>
  <si>
    <t>اصلاح سند 10711112 تاریخ 1401/05/24</t>
  </si>
  <si>
    <t>1401/05/26</t>
  </si>
  <si>
    <t>782891</t>
  </si>
  <si>
    <t>1020010054111792</t>
  </si>
  <si>
    <t>شرکت آدیش جنوبی جهت واریز به حساب 1-3028498-800-215 بنام خانم پروین صادق آبادی بابت پرداخت به شرکت درسا ترابر آسیا جهت هزینه ترخیصیه محموله فلنچ اینویس 183 بارنامه ش 2822/0010F006265</t>
  </si>
  <si>
    <t xml:space="preserve">شرکت آدیش جنوبی جهت حواله ساتنا به حساب IR290120020000005511133214 نزد بانک ملت به نام شرکت راهکار برتر آراد پایا بابت پ ف 01942 خرید بسته افزایشی 10 کابر نرم افزار پوپک </t>
  </si>
  <si>
    <t>782892</t>
  </si>
  <si>
    <t>2540010054111793</t>
  </si>
  <si>
    <t>782893</t>
  </si>
  <si>
    <t>3058010054111794</t>
  </si>
  <si>
    <t>شرکت مهندسی بازرگانی توان الکترو سدید با شناسه 10320602625 جهت حواله ساتنا به حساب IR35 0190 0000 0010 9451 9780 05  نزد بانک ملت بابت 40% پ پ خرید کابل</t>
  </si>
  <si>
    <t>782894</t>
  </si>
  <si>
    <t>4213010054111795</t>
  </si>
  <si>
    <t>1401/05/29</t>
  </si>
  <si>
    <t>782895</t>
  </si>
  <si>
    <t>آقای وحید نجاری با کد ملی 0072382831 جهت حواله ساتنا به حساب IR56 0120 0000 0000 5660 0800 38 نزد بانک ملت بابت خرید ورق طی ف 1-0067 و 2-0067 و 3-0067 از آهن اسکندری</t>
  </si>
  <si>
    <t>1834010054111796</t>
  </si>
  <si>
    <t>782896</t>
  </si>
  <si>
    <t>5217010054111797</t>
  </si>
  <si>
    <t>شرکت صنعتی و شیمیایی رنگین زره به شناسه 10861402655جهت حواله ساتنا به حساب IR16 0120 0000 0000 1334 2874 79 نزد بانک ملت بابت خرید آستری اپوکسی طی پ ف 1956</t>
  </si>
  <si>
    <t>شرکت بازرگانی پترو کهن نفتان با شناسه ملی 10103436123جهت حواله ساتنا به حساب IR07 0120 0000 0000 1291 5046 27 نزد بانک ملت بابت خرید لوله و اتصالات طی ف 01/57330</t>
  </si>
  <si>
    <t>782897</t>
  </si>
  <si>
    <t>7370010054111798</t>
  </si>
  <si>
    <t>782898</t>
  </si>
  <si>
    <t>2523010054111799</t>
  </si>
  <si>
    <t>782899</t>
  </si>
  <si>
    <t>4848010054111800</t>
  </si>
  <si>
    <t>1401/05/30</t>
  </si>
  <si>
    <t>1401/06/01</t>
  </si>
  <si>
    <t>1401/06/07</t>
  </si>
  <si>
    <t>1401/06/06</t>
  </si>
  <si>
    <t>1401/06/08</t>
  </si>
  <si>
    <t>آقای وحید نجاری با کد ملی 0072382831 جهت حواله ساتنا به حساب IR56 0120 0000 0000 5660 0800 38 نزد بانک ملت بابت خرید ورق طی ف 0068 از آهن اسکندری</t>
  </si>
  <si>
    <t>782900</t>
  </si>
  <si>
    <t>6477010054111801</t>
  </si>
  <si>
    <t>923001</t>
  </si>
  <si>
    <t>9912010077970466</t>
  </si>
  <si>
    <t xml:space="preserve">شرکت گلنور با شناسه ملی 10260314751 جهت حواله ساتنا به حساب IR23 0150 0000 0082 9800 2581 11 نزد بانک سپه بابت خرید براکت تسویه ف 22927 </t>
  </si>
  <si>
    <t>923002</t>
  </si>
  <si>
    <t>923003</t>
  </si>
  <si>
    <t>923004</t>
  </si>
  <si>
    <t>923005</t>
  </si>
  <si>
    <t>923006</t>
  </si>
  <si>
    <t>7711010077970467</t>
  </si>
  <si>
    <t xml:space="preserve">شرکت تولیدی و صنعتی سیم و کابل مغان با شناسه ملی 10480033664 جهت حواله ساتنا به حساب IR35 0120 0000 0000 0013 5569 62 نزد بانک ملت بابت پ پ خرید کابل ابزار دقیق HVAC ساختمان NIB </t>
  </si>
  <si>
    <t>3005010077970468</t>
  </si>
  <si>
    <t xml:space="preserve">شرکت اریس اوکسین با شناسه 10103734971جهت حواله ساتنا به حساب IR44 0120 0000 0000 8587 1019 11 نزد بانک ملت بابت پیش پرداخت پ ف OX-PI-A-14015-307 خرید PLATE  </t>
  </si>
  <si>
    <t>9421010077970469</t>
  </si>
  <si>
    <t xml:space="preserve">شرکت پویا گستر آرتا صنعت با شناسه ملی 14010567973 جهت حواله ساتنا به حساب IR67 0120 0000 0000 9520 8472 62 نزد بانک ملت بابت علی الحساب پ ف مورخ 1401/05/22 </t>
  </si>
  <si>
    <t>2050010077970470</t>
  </si>
  <si>
    <t>شرکت آدیش جنوبی جهت پرداخت حقوق و دستمزد مرداد ماه 1401 کارکنان شرکت پالایش میعانات گازی آدیش جنوبی طبق لیست پیوست</t>
  </si>
  <si>
    <t>شرکت آدیش جنوبی جهت پرداخت هزینه های مهندسی مرداد ماه 1401 کارکنان شرکت پالایش میعانات گازی آدیش جنوبی طبق لیست پیوست</t>
  </si>
  <si>
    <t>شرکت آدیش جنوبی جهت واریز به حساب 1-140372-843-110 به نام آقای محسن صفائی فراهانی بابت عودت بدهی (مابه التفاوت مرداد 1401)</t>
  </si>
  <si>
    <t>923007</t>
  </si>
  <si>
    <t>923008</t>
  </si>
  <si>
    <t>8569010077970471</t>
  </si>
  <si>
    <t>3506010077970472</t>
  </si>
  <si>
    <t>8507010077970473</t>
  </si>
  <si>
    <t>923009</t>
  </si>
  <si>
    <t>1401/06/09</t>
  </si>
  <si>
    <t>2163010077970474</t>
  </si>
  <si>
    <t>شرکت آدیش جنوبی جهت واریز به حساب 1-5906207-828-101 بنام شرکت توسعه شبکه فروش همکاران سیستم بابت خرید نرم افزار دریافت و پرداخت و خدمات آموزش طبق قرارداد</t>
  </si>
  <si>
    <t xml:space="preserve">واریزی بابت آزاد سازی سپرده صندوق آتیه نوین </t>
  </si>
  <si>
    <t>923010</t>
  </si>
  <si>
    <t>5440010077970475</t>
  </si>
  <si>
    <t>شرکت آدیش جنوبی جهت حواله ساتنا به حساب IR57 0210 0054 8334 2573 0005 02 بنام دهیاری برد خون کهنه بابت هزینه حمل سیمان</t>
  </si>
  <si>
    <t>3626010077970476</t>
  </si>
  <si>
    <t>923011</t>
  </si>
  <si>
    <t>923012</t>
  </si>
  <si>
    <t>1401/06/12</t>
  </si>
  <si>
    <t>923013</t>
  </si>
  <si>
    <t>923014</t>
  </si>
  <si>
    <t>923015</t>
  </si>
  <si>
    <t>923016</t>
  </si>
  <si>
    <t>923017</t>
  </si>
  <si>
    <t>923018</t>
  </si>
  <si>
    <t xml:space="preserve">شرکت آدیش جنوبی جهت حواله ساتنا به حساب IR290120020000005511133214 نزد بانک ملت به نام شرکت راهکار برتر آراد پایا بابت ارتقای زیر سیستم طی پ ف 01924 </t>
  </si>
  <si>
    <t>1276010077970477</t>
  </si>
  <si>
    <t>شرکت صنعتی و شیمیایی رنگین زره به شناسه 10861402655جهت حواله ساتنا به حساب IR16 0120 0000 0000 1334 2874 79 نزد بانک ملت بابت خرید آستری و تینر طی پ ف 2210-2211</t>
  </si>
  <si>
    <t>4075010077970478</t>
  </si>
  <si>
    <t xml:space="preserve">شرکت آدیش جنوبی جهت حواله ساتنا به حساب IR57 0170 0000 0011 5340 4770 06  نزد بانک ملی بنام آقای هادی کشاورزی بابت تسویه پ ف 433 از فروشگاه رنگ های دریایی و صنعتی کشاورز </t>
  </si>
  <si>
    <t>3106010077970479</t>
  </si>
  <si>
    <t>7319010077970480</t>
  </si>
  <si>
    <t xml:space="preserve">شرکت مهندسی ظریف صنعت پیشرو به شناسه ملی 10103679604 جهت حواله ساتنا به حساب IR63 0150 0000 0310 0010 7799 18  نزد بانک سپه بابت 30% پ پ خرید کاندوئیت های ابزار دقیق </t>
  </si>
  <si>
    <t>7894010077970481</t>
  </si>
  <si>
    <t>شرکت بازرگانی پترو کهن نفتان با شناسه ملی 10103436123جهت حواله ساتنا به حساب IR07 0120 0000 0000 1291 5046 27 نزد بانک ملت بابت خرید لوله و اتصالات طی ف 01/57344</t>
  </si>
  <si>
    <t>6160010077970482</t>
  </si>
  <si>
    <t>شرکت آدیش جنوبی جهت حواله ساتنا به حساب IR74 0220 1610 0201 5411 3140 01 نزد بانک توسعه تعاون بنام آقای علی رحمانی بابت خرید ماسه بادی ص و ش 8 طی ف 01-0410-1401</t>
  </si>
  <si>
    <t>7124010077970483</t>
  </si>
  <si>
    <t>923019</t>
  </si>
  <si>
    <t>1401/06/13</t>
  </si>
  <si>
    <t>1707010077970484</t>
  </si>
  <si>
    <t>شرکت آدیش جنوبی جهت واریز به حساب  1-3841672-800-155 نزد بانک اقتصادنوین بنام آقای مجتبی زرافشانی بابت پرداخت مساعده طی دستور پیوست</t>
  </si>
  <si>
    <t>923020</t>
  </si>
  <si>
    <t>923021</t>
  </si>
  <si>
    <t>923022</t>
  </si>
  <si>
    <t>9529010077970485</t>
  </si>
  <si>
    <t>شرکت ماشین سازی شمال پیروز با شناسه 10861616086 جهت حواله ساتنا به حساب IR51 0120 0000 0000 7203 9466 78 نزد بانک ملت بابت 25% پ پ ق ADSH-P-PO-GE-103</t>
  </si>
  <si>
    <t>1488010077970486</t>
  </si>
  <si>
    <t>شرکت بازرگانی پترو کهن نفتان با شناسه ملی 10103436123جهت حواله ساتنا به حساب IR07 0120 0000 0000 1291 5046 27 نزد بانک ملت بابت خرید لوله و اتصالات طی ف 01/57333</t>
  </si>
  <si>
    <t>1401/06/14</t>
  </si>
  <si>
    <t>9485010077970487</t>
  </si>
  <si>
    <t>واریزی از طرف شرکت گذرگاه دریای پارس</t>
  </si>
  <si>
    <t>واریز سود علی الحساب از 1401/05/10 تا 1401/06/09</t>
  </si>
  <si>
    <t>1401/06/10</t>
  </si>
  <si>
    <t>1401/06/15</t>
  </si>
  <si>
    <t>923023</t>
  </si>
  <si>
    <t>9774010077970488</t>
  </si>
  <si>
    <t>شرکت گلنور با شناسه ملی 10260314751 حواله ساتنا به حساب IR23 0150 0000 0082 9800 2581 11 نزد بانک سپه بابت تسویه حساب کامل ق ADSH-P-PO-GE-060 پس از کسر کسورات قراردادی فاکتورهای 22413-22160</t>
  </si>
  <si>
    <t>واریزی از طرف آذرخش آوای باختر بابت استرداد سپرده</t>
  </si>
  <si>
    <t>سود ماهانه آتیه نوین</t>
  </si>
  <si>
    <t>923024</t>
  </si>
  <si>
    <t>1401/06/19</t>
  </si>
  <si>
    <t>3865010077970489</t>
  </si>
  <si>
    <t>شرکت پارت سازی مشهد با شناسه ملی 10380198131 جهت حواله ساتنا به حساب IR20 0170 0000 0030 2356 5250 08 نزد بانک ملی بابت خرید پیچ و مهره طی ف 1751</t>
  </si>
  <si>
    <t>923025</t>
  </si>
  <si>
    <t>شرکت آدیش جنوبی جهت حواله ساتنا به حساب IR310190000000105995935007 بنام شرکت تعاونی پرتو صنعت کنگان بابت خرید تیرآهن طی ف 359</t>
  </si>
  <si>
    <t>1281010077970490</t>
  </si>
  <si>
    <t>923026</t>
  </si>
  <si>
    <t>923027</t>
  </si>
  <si>
    <t>9322010077970491</t>
  </si>
  <si>
    <t>6440010077970492</t>
  </si>
  <si>
    <t>شرکت آدیش جنوبی جهت واریز به حساب 1-5906207-828-101 بنام شرکت توسعه شبکه فروش همکاران سیستم بابت خرید ماژول مدیریت دارایی ثابت طی قرارداد</t>
  </si>
  <si>
    <t xml:space="preserve">واریز سود ماهانه منتهی به 1401/06/19 صندوق آتیه نوین </t>
  </si>
  <si>
    <t>1401/06/16</t>
  </si>
  <si>
    <t>1401/06/20</t>
  </si>
  <si>
    <t>1401/06/21</t>
  </si>
  <si>
    <t>923028</t>
  </si>
  <si>
    <t>923029</t>
  </si>
  <si>
    <t>923030</t>
  </si>
  <si>
    <t>923031</t>
  </si>
  <si>
    <t>923032</t>
  </si>
  <si>
    <t>923033</t>
  </si>
  <si>
    <t>923034</t>
  </si>
  <si>
    <t>923035</t>
  </si>
  <si>
    <t>8770010077970493</t>
  </si>
  <si>
    <t>4269010077970494</t>
  </si>
  <si>
    <t>6971010077970495</t>
  </si>
  <si>
    <t>1467010077970496</t>
  </si>
  <si>
    <t>4112010077970497</t>
  </si>
  <si>
    <t>9340010077970498</t>
  </si>
  <si>
    <t>1663010077970499</t>
  </si>
  <si>
    <t>2320010077970500</t>
  </si>
  <si>
    <t>شرکت بازرگانی پترو کهن نفتان با شناسه ملی 10103436123جهت حواله ساتنا به حساب IR07 0120 0000 0000 1291 5046 27 نزد بانک ملت بابت خرید فلنج و ... طی ف 57329</t>
  </si>
  <si>
    <t>شرکت خبرگان بین المللی تهران با شناسه 10102518676 جهت حواله ساتنا به حساب  IR22 0180 0000 0000 2311 0829 92  نزد بانک تجارت بابت 7 فقره فاکتور انجام بازرسی داخلی و خارجی</t>
  </si>
  <si>
    <t xml:space="preserve">شرکت مهندسین مشاور پی کاو به شناسه ملی 10100653470جهت حواله ساتنا به حسابIR24 0180 0000 0000 0023 1276 60 نزد بانک تجارت بابت ص و ش 38 ق ADISH-E-CO_CV-005 </t>
  </si>
  <si>
    <t>شرکت پارت سازی مشهد با شناسه ملی 10380198131 جهت حواله ساتنا به حساب IR20 0170 0000 0030 2356 5250 08 نزد بانک ملی بابت خرید پیچ و مهره طی ف 1752</t>
  </si>
  <si>
    <t>شرکت بازرگانی پترو کهن نفتان با شناسه ملی 10103436123جهت حواله ساتنا به حساب IR07 0120 0000 0000 1291 5046 27 نزد بانک ملت بابت خرید فلنج و ... طی ف 57331-57335</t>
  </si>
  <si>
    <t>1401/06/22</t>
  </si>
  <si>
    <t xml:space="preserve">شرکت فرداد سازه رهام با شناسه 14008877745 جهت حواله ساتنا به حساب IR26 0150 0000 0310 1021 3540 35  نزد بانک سپه بابت خرید 1 دستگاه لیفتراک 3 تن  </t>
  </si>
  <si>
    <t>923036</t>
  </si>
  <si>
    <t xml:space="preserve">شرکت دپو ماشین با شناسه 10100866884 جهت حواله ساتنا به حساب IR37 0570 0322 1100 0912 1900 01 نزد بانک پاسارگاد جهت تسویه پ ف 4-61611-د-01 خرید دو دستگاه کانکس دو اتاقه جهتQC و دفتر فنی  </t>
  </si>
  <si>
    <t>6781010077970501</t>
  </si>
  <si>
    <t>923037</t>
  </si>
  <si>
    <t>6020010077970502</t>
  </si>
  <si>
    <t>1401/06/23</t>
  </si>
  <si>
    <t>923038</t>
  </si>
  <si>
    <t>5369010077970503</t>
  </si>
  <si>
    <t>هزینه کارمزد اعمال تغییرات مورخ 1401/03/26</t>
  </si>
  <si>
    <t>آقای وحید نجاری با کد ملی 0072382831 جهت حواله ساتنا به حساب IR56 0120 0000 0000 5660 0800 38 نزد بانک ملت بابت خرید Bean Profile و Bolt ص 69 از آهن اسکندری</t>
  </si>
  <si>
    <t>923039</t>
  </si>
  <si>
    <t>923040</t>
  </si>
  <si>
    <t>923041</t>
  </si>
  <si>
    <t>923042</t>
  </si>
  <si>
    <t>923043</t>
  </si>
  <si>
    <t>923044</t>
  </si>
  <si>
    <t>1401/06/27</t>
  </si>
  <si>
    <t>4520010077970504</t>
  </si>
  <si>
    <t>5717010077970505</t>
  </si>
  <si>
    <t>5729010077970506</t>
  </si>
  <si>
    <t>شرکت پویا گستر آرتا صنعت با شناسه ملی 14010567973 جهت حواله ساتنا به حساب IR67 0120 0000 0000 9520 8472 62 نزد بانک ملت بابت خرید تجهیزات طی ف 74-75</t>
  </si>
  <si>
    <t xml:space="preserve">شرکت اریس اوکسین با شناسه 10103734971جهت حواله ساتنا به حساب IR44 0120 0000 0000 8587 1019 11 نزد بانک ملت بابت ف 1471 خرید PLATE  </t>
  </si>
  <si>
    <t>شرکت آدیش جنوبی جهت حواله ساتنا به حساب IR52 0170 0000 0011 3792 6770 02 نزد بانک ملی بنام شرکت فلزات نوین تجارت آزاد بابت خرید آهن آلات طی ص 27</t>
  </si>
  <si>
    <t>7060010077970507</t>
  </si>
  <si>
    <t>9933010077970508</t>
  </si>
  <si>
    <t>شرکت مهندسی ظریف صنعت پیشرو به شناسه ملی 10103679604 جهت حواله ساتنا به حساب IR63 0150 0000 0310 0010 7799 18  نزد بانک سپه بابت خرید کاندوئیت های ابزار دقیق طی ص 309</t>
  </si>
  <si>
    <t>6366010077970509</t>
  </si>
  <si>
    <t>7923010077970510</t>
  </si>
  <si>
    <t>1401/06/28</t>
  </si>
  <si>
    <t>923045</t>
  </si>
  <si>
    <t>شرکت بازرگانی پترو کهن نفتان با شناسه ملی 10103436123جهت حواله ساتنا به حساب IR07 0120 0000 0000 1291 5046 27 نزد بانک ملت بابت خرید تجهیزات طی ف 57352-57356-57355</t>
  </si>
  <si>
    <t>923046</t>
  </si>
  <si>
    <t>1810010077970511</t>
  </si>
  <si>
    <t xml:space="preserve">آقای حسین سمیعی کیا با کد ملی 0519518446 جهت واریز به حساب 1-5942533-800-215 نزد بانک اقتصاد نوین بابت پرداخت تسهیلات قرض الحسنه بازپرداخت 15 ماه طی دستور پرداخت </t>
  </si>
  <si>
    <t>1401/06/29</t>
  </si>
  <si>
    <t>1401/06/30</t>
  </si>
  <si>
    <t>1401/07/10</t>
  </si>
  <si>
    <t>1401/07/11</t>
  </si>
  <si>
    <t>923047</t>
  </si>
  <si>
    <t>5472010077970512</t>
  </si>
  <si>
    <t>آدیش جنوبی جهت واریز به حساب  1-5250821-800-215 نزد بانک اقتصادنوین بنام خانم سپیده بیاتی بابت مساعده مهر ماه طی دستور پیوست</t>
  </si>
  <si>
    <t>923048</t>
  </si>
  <si>
    <t>4418010077970513</t>
  </si>
  <si>
    <t>شرکت آدیش جنوبی جهت حواله ساتنا به حساب  IR74 0120 0000 0000 4428 1696 26 نزد بانک ملت به نام شرکت حمل و نقل کهورک بار لامرد بابت پ پ خرید 500 تن سیمان فله تیپ 2 به همراه حمل جهت بچینگ طی پ ف0046-01 و درخواست CV-252</t>
  </si>
  <si>
    <t>واریز سود علی الحساب از 1401/06/10 تا 1401/07/09</t>
  </si>
  <si>
    <t>شرکت آدیش جنوبی جهت پرداخت حقوق و دستمزد شهریور ماه 1401 کارکنان شرکت پالایش میعانات گازی آدیش جنوبی طبق لیست پیوست</t>
  </si>
  <si>
    <t>1401/07/12</t>
  </si>
  <si>
    <t>923049</t>
  </si>
  <si>
    <t>923050</t>
  </si>
  <si>
    <t>5379010077970514</t>
  </si>
  <si>
    <t>4123010077970515</t>
  </si>
  <si>
    <t>194401</t>
  </si>
  <si>
    <t>194402</t>
  </si>
  <si>
    <t>194403</t>
  </si>
  <si>
    <t>194404</t>
  </si>
  <si>
    <t>194405</t>
  </si>
  <si>
    <t>2221010095866376</t>
  </si>
  <si>
    <t>4277010095866377</t>
  </si>
  <si>
    <t>8789010095866378</t>
  </si>
  <si>
    <t>8611010095866379</t>
  </si>
  <si>
    <t>7618010095866380</t>
  </si>
  <si>
    <t>شرکت آدیش جنوبی جهت واریز به حساب 1-140372-843-110 به نام آقای محسن صفائی فراهانی بابت عودت بدهی (مابه التفاوت شهریور 1401)</t>
  </si>
  <si>
    <t>شرکت آدیش جنوبی جهت پرداخت هزینه های مهندسی شهریور ماه 1401 کارکنان شرکت پالایش میعانات گازی آدیش جنوبی طبق لیست پیوست</t>
  </si>
  <si>
    <t>شرکت آدیش جنوبی جهت واریز به حساب 1-5528610-800-209 آقای مجید پابخش بابت پرداخت مابه التفاوت حساب شرکت حمل و نقل توشه بر اینویس 138</t>
  </si>
  <si>
    <t xml:space="preserve">هزینه کارمزد پرداخت حقوق </t>
  </si>
  <si>
    <t xml:space="preserve">آقای عباس رحیمی با کد ملی 0601266544 جهت حواله ساتنا به حساب IR60 0120 0200 0000 1714 4834 95 نزد بانک ملت بابت سرویس و نگهداری دوربین ها طی ف 140106-105 از ارتباط نوین  </t>
  </si>
  <si>
    <t>1401/07/18</t>
  </si>
  <si>
    <t>1401/07/19</t>
  </si>
  <si>
    <t>194406</t>
  </si>
  <si>
    <t>6412010095866381</t>
  </si>
  <si>
    <t xml:space="preserve">آدیش جنوبی جهت واریز به حساب 1-3028498-800-215 بنام خانم پروین صادق آبادی بابت پرداخت هزینه هتل کره ای ها </t>
  </si>
  <si>
    <t xml:space="preserve"> واریز به حساب 1-6268779-800-212 بنام خانم فاطمه فیروزی بابت مابه االتفاوت حقوق شهریور ماه 1401</t>
  </si>
  <si>
    <t>1401/07/21</t>
  </si>
  <si>
    <t>194407</t>
  </si>
  <si>
    <t>1401/07/23</t>
  </si>
  <si>
    <t>1181010095866382</t>
  </si>
  <si>
    <t>1401/07/24</t>
  </si>
  <si>
    <t xml:space="preserve">شرکت مهندسین مشاور پی کاو به شناسه ملی 10100653470جهت حواله ساتنا به حسابIR24 0180 0000 0000 0023 1276 60 نزد بانک تجارت بابت ص و ش 39 ق ADISH-E-CO_CV-005 </t>
  </si>
  <si>
    <t>1401/07/25</t>
  </si>
  <si>
    <t>194408</t>
  </si>
  <si>
    <t>2266010095866383</t>
  </si>
  <si>
    <t>194409</t>
  </si>
  <si>
    <t>4198010095866384</t>
  </si>
  <si>
    <t>شرکت صنعتی و شیمیایی رنگین زره به شناسه 10861402655جهت حواله ساتنا به حساب IR16 0120 0000 0000 1334 2874 79 نزد بانک ملت بابت خرید آستری اپوکسی طی ص 7460-7461</t>
  </si>
  <si>
    <t>194410</t>
  </si>
  <si>
    <t>194411</t>
  </si>
  <si>
    <t>7203010095866385</t>
  </si>
  <si>
    <t>4680010095866386</t>
  </si>
  <si>
    <t>آقای سید محمد حسینی کیا با کد ملی 0510015662 جهت واریز به حساب 1-6461147-701-215 نزد بانک اقتصاد نوین بابت تسویه کامل حقوق و عیدی و بازخرید خدمت و طلب مرخصی و ... تا پایان 1401/06/05</t>
  </si>
  <si>
    <t>آقای حجت وثوقی با کد ملی 0010080521 جهت واریز به حساب 1-5592823-800-134 نزد بانک اقتصاد نوین بابت تسویه کامل حقوق و عیدی و بازخرید خدمت و طلب مرخصی و ... تا پایان 1401/06/15</t>
  </si>
  <si>
    <t>1401/07/27</t>
  </si>
  <si>
    <t>194412</t>
  </si>
  <si>
    <t>1401/08/04</t>
  </si>
  <si>
    <t>واریز به حساب شماره 1-6992997-701-187 نزد بانک اقتصاد نوین بنام آقای علی نظری جهت تسویه حساب حقوق مهر ماه 1401</t>
  </si>
  <si>
    <t>واریز به حساب شماره 1-6963742-800-103 نزد بانک اقتصاد نوین بنام آقای مجتبی اروئی جهت حقوق مهر ماه 1401</t>
  </si>
  <si>
    <t>بانک اقتصاد نوین -حساب شماره 1-140372-800-135</t>
  </si>
  <si>
    <t>حواله ساتنا به حساب IR40 0190 0000 0010 3879 2570 08 نزد بانک صادرات بنام آقای سعید رحمانی جهت هزینه گمرک</t>
  </si>
  <si>
    <t>حواله ساتنا به حساب //////////////// نزد بانک تات بنام آقای محمد باقر خسروی جهت هزینه گمرک</t>
  </si>
  <si>
    <t xml:space="preserve">آدیش جنوبی جهت حواله ساتنا به حساب IR 37 0610 0000 0070 0793 4679 71 بنام آقای ابراهیم اسماعیلی هریس بابت حق مشاوره </t>
  </si>
  <si>
    <t>پرداخت جهت حواله ساتنا به حساب IR 64 0120 0000 0000 9321 9823 78  بنام آقای محسن صفائی فراهانی بابت حقوق آقای عقیلی در مرداد 1401 (بخشی از قسط وام)</t>
  </si>
  <si>
    <t>واریز به حساب شماره 1-6421292-800-170 نزد بانک اقتصاد نوین بنام خانم مرجان آخش</t>
  </si>
  <si>
    <t xml:space="preserve"> آدیش جنوبی جهت پرداخت شارژ بن کارت هدیه تولد 1 نفر از پرسنل شرکت طبق لیست پیوست</t>
  </si>
  <si>
    <t>1401/10/07</t>
  </si>
  <si>
    <t xml:space="preserve">پرداخت جهت حواله ساتنا به حساب IR12 0180 0000 0000 9549 8696 77 نزد بانک تجارت بنام آقای رضا صفری بابت خرید سکه </t>
  </si>
  <si>
    <t xml:space="preserve">                      </t>
  </si>
  <si>
    <t>1401/10/20</t>
  </si>
  <si>
    <t>پرداخت جهت حواله ساتنا به حساب IR76 0180 0000 0000 0296 2651 44 نزد بانک تجارت بنام آقای حسن افشانی بابت شارژ تنخواه خرید 2 عدد نیم سکه جهت جلسه صندوق توسعه ملی</t>
  </si>
  <si>
    <t>1401/10/26</t>
  </si>
  <si>
    <t>پرداخت جهت حواله ساتنا به حساب IR90 0180 0000 0000 0560 1162 41 نزد بانک تجارت بنام آقای مهندس وحید اکبری جهت ما به التفاوت حقوق آذر ماه 1401</t>
  </si>
  <si>
    <t xml:space="preserve">پرداخت جهت واریز به حساب 1-5952606-800-215 نزد بانک اقتصاد نوین بنام آقای مهدی جلالی مشایخی بابت 40 ساعت کارکرد مهندسی آقای مجتبی نوریانی </t>
  </si>
  <si>
    <t>1401/11/09</t>
  </si>
  <si>
    <t>پرداخت جهت حواله ساتنا IR 64 0120 0000 0000 9321 9823 78  بنام آقای محسن صفائی فراهانی بابت حقوق آقای عقیلی در دی 1401 (بخشی از قسط وام)</t>
  </si>
  <si>
    <t xml:space="preserve"> واریز به حساب 1-2688597-800-215 بنام آقای محسن خستو بابت تنخواه خرید 3 دستگاه ایرپاد پرو جهت هدیه روز مرد به پرسنل صندوق توسعه ملی</t>
  </si>
  <si>
    <t>بانک اقتصاد نوین- حساب شماره 1-140372-800-135</t>
  </si>
  <si>
    <t>1401/11/26</t>
  </si>
  <si>
    <t>واریز حقوق دی ماه 1401 کارکنان سایت طبق لیست پیوست</t>
  </si>
  <si>
    <t>1401/11/30</t>
  </si>
  <si>
    <t xml:space="preserve"> جهت حواله ساتنا  IR 67 0120 0000 0000 0299 1367 05  نزد بانک ملت بابت کارکرد ساعتی آقای مجید پابخش</t>
  </si>
  <si>
    <t>1401/12/21</t>
  </si>
  <si>
    <t>پرداخت جهت حواله ساتنا  IR 40 0180 0000 0000 4818 5857 27 بنام آقای حسین عالیوند بابت عیدی سال 1401</t>
  </si>
  <si>
    <t xml:space="preserve">پرداخت جهت حواله ساتنا  IR 90 0180 0000 0000 0560 1162 41 بنام آقای وحید اکبری بابت مابه التفاوت حقوق 40 ساعت آبان ماه </t>
  </si>
  <si>
    <t>1401/12/27</t>
  </si>
  <si>
    <t xml:space="preserve"> جهت حواله ساتنا  IR 330140 0400 0041 0003 1931 67  نزد بانک مسکن بنام خانم زهرا صفر پور بابت هزینه گمرک</t>
  </si>
  <si>
    <t xml:space="preserve"> جهت حواله ساتنا  IR 88 0140 0400 0071 0123 1703 95  نزد بانک مسکن بنام خانم معصومه زراعت دوست بابت هزینه گمرک</t>
  </si>
  <si>
    <t xml:space="preserve">پرداخت جهت واریز به حساب  1-6280670-800-178  بنام خانم صفورا صدرایی پور </t>
  </si>
  <si>
    <t xml:space="preserve"> جهت حواله ساتنا  IR 35 0180 0000 0000 2638 0776 15   نزد بانک تجارت بنام آقای اسماعیل کرمی بابت حقوق </t>
  </si>
  <si>
    <t>1401/12/28</t>
  </si>
  <si>
    <t xml:space="preserve">پرداخت جهت واریز به حساب  1-3286035-800-162  بنام آقای مجتبی استا بابت تفاوت حق الزحمه </t>
  </si>
  <si>
    <t>1402/01/22</t>
  </si>
  <si>
    <t>1402/01/30</t>
  </si>
  <si>
    <t>پرداخت جهت حواله ساتنا به حساب IR 50 0180 0000 0000 9514 9186 32  بنام آقای سیامک بهمنی بابت کارانه اسفند ماه 1401</t>
  </si>
  <si>
    <t>1402/02/17</t>
  </si>
  <si>
    <t>پرداخت جهت واریز به حساب  1-6384532-800-155  بنام خانم شایسته سادات کریمی بابت مابه التفاوت حقوق فروردین 1402</t>
  </si>
  <si>
    <t xml:space="preserve"> واریز به حساب 1-6268779-800-212 بنام خانم فاطمه فیروزی بابت مابه االتفاوت حقوق اسفند 1401 و فروردین ماه 1402</t>
  </si>
  <si>
    <t>1402/02/19</t>
  </si>
  <si>
    <t xml:space="preserve"> آدیش جنوبی جهت پرداخت شارژ بن کارت هدیه 1 نفر پرسنل شرکت طبق لیست پیوست</t>
  </si>
  <si>
    <t>1402/03/01</t>
  </si>
  <si>
    <t xml:space="preserve">پرداخت جهت حواله ساتنا به حساب IR 35 0180 0000 0000 2638 0776 15  نزد بانک تجارت به نام آقایان اکبری و رضا صفری و اسماعیل کرمی جهت خرید سکه </t>
  </si>
  <si>
    <t>1402/03/10</t>
  </si>
  <si>
    <t>واریز  به حساب 1-6305587-701-173  بنام خانم مینا زارعی بابت مابه التفاوت حقوق اردیبهشت ماه 1402</t>
  </si>
  <si>
    <t>1402/03/16</t>
  </si>
  <si>
    <t>واریز  به حساب 1-5926101-800-103  بنام آقای رضا حسینی نوش بابت مابه التفاوت حقوق اردیبهشت ماه 1402</t>
  </si>
  <si>
    <t>1402/03/24</t>
  </si>
  <si>
    <t xml:space="preserve"> واریز به حساب  1-6878351-800-111 نزد بانک اقتصاد نوین بنام آقای فرهاد سرافراز بابت 70% کارکرد اسفند 1400 الی تیر 1401</t>
  </si>
  <si>
    <t xml:space="preserve"> پرداخت شارژ بن کارت تولد 1 نفر پرسنل شرکت در خرداد ماه طبق لیست پیوست</t>
  </si>
  <si>
    <t>1402/03/29</t>
  </si>
  <si>
    <t>1402/04/17</t>
  </si>
  <si>
    <t xml:space="preserve">پرداخت جهت حواله ساتنا به حساب IR12 0180 0000 0000 9549 8696 77 نزد بانک تجارت بنام آقای رضا صفری بابت هزینه های جانبی مربوط به اخذ مجوز فنس کشی پیرمون سایت و تسطیح و ختکبرداری و شیب بندی زمین </t>
  </si>
  <si>
    <t>1402/04/27</t>
  </si>
  <si>
    <t xml:space="preserve"> شارژ بن کارت هدیه 1 نفر پرسنل شرکت طبق لیست پیوست</t>
  </si>
  <si>
    <t>1402/05/02</t>
  </si>
  <si>
    <t xml:space="preserve"> حواله ساتنا به حساب IR 76 0180 0000 0000 0296 2651 44  نزد بانک تجارت به نام آقای حسن افشانی بابت خرید </t>
  </si>
  <si>
    <t>1402/05/11</t>
  </si>
  <si>
    <t xml:space="preserve"> پرداخت مابه التفاوت حقوق و دستمزد تیر ماه 1402 کارکنان شرکت طبق لیست پیوست</t>
  </si>
  <si>
    <t xml:space="preserve"> پرداخت مابه التفاوت هزینه های مهندسی تیر ماه 1402 کارکنان شرکت طبق لیست پیوست</t>
  </si>
  <si>
    <t>1402/05/17</t>
  </si>
  <si>
    <t xml:space="preserve">پرداخت جهت حواله ساتنا IR 49 0140 0400 0044 0061 5061 25 نزد بانک مسکن بنام خانم زهرا صفر پور بابت هزینه های جانبی ترخیص </t>
  </si>
  <si>
    <t>1402/05/22</t>
  </si>
  <si>
    <t xml:space="preserve">واریز به حساب 1-3771449-800-117 نزد بانک اقتصاد بنام آقای پیمان ابارقی بابت هزینه های مهندسی تیر ماه 1402 </t>
  </si>
  <si>
    <t xml:space="preserve"> پرداخت مابه التفاوت هزینه های مهندسی مرداد ماه 1402 کارکنان شرکت طبق لیست پیوست</t>
  </si>
  <si>
    <t>1402/06/18</t>
  </si>
  <si>
    <t xml:space="preserve"> پرداخت مابه التفاوت حقوق و دستمزد مرداد ماه 1402 کارکنان شرکت طبق لیست پیوست</t>
  </si>
  <si>
    <t>1402/08/07</t>
  </si>
  <si>
    <t xml:space="preserve"> حواله ساتنا به حساب   IR 90 0180 0000 0000 8540 6586 42 نزد بانک تجارت به نام آقای رسول امیدی بابت حقوق شهریور و مابه التفاوت از بدو استخدام </t>
  </si>
  <si>
    <t xml:space="preserve"> حواله ساتنا به حساب IR 91 0600 4820 0251 0715 2110 01  نزد بانک مهر ایران بنام خانم زهرا صفر پور بابت هزینه های جانبی ترخیص </t>
  </si>
  <si>
    <t>1402/08/27</t>
  </si>
  <si>
    <t xml:space="preserve"> پرداخت مابه التفاوت حقوق و دستمزد آبان ماه 1402 کارکنان شرکت طبق لیست پیوست</t>
  </si>
  <si>
    <t xml:space="preserve"> پرداخت مابه التفاوت هزینه های مهندسی آبان ماه 1402 کارکنان شرکت طبق لیست پیوست</t>
  </si>
  <si>
    <t>1402/09/11</t>
  </si>
  <si>
    <t>1402/09/27</t>
  </si>
  <si>
    <t xml:space="preserve"> واریز به حساب 1-6065202-701-127 نزد بانک اقتصاد نوین بنام آقای امید رضا تشخیصی بابت پرداخت مابه التفاوت حقوق آبان ماه 1402</t>
  </si>
  <si>
    <t>1402/09/28</t>
  </si>
  <si>
    <t xml:space="preserve"> پرداخت مابه التفاوت حقوق و دستمزد آبان ماه 1402 پرسنل سایت طبق لیست پیوست</t>
  </si>
  <si>
    <t xml:space="preserve"> واریز به حساب 1-5771804-800-155 نزد بانک اقتصاد نوین بنام آقای محمد مهدی قشلاقی بابت تسویه کامل حقوق و عیدی و بازخرید خدمت و طلب مرخصی و ... تا پایان 1402/07/30</t>
  </si>
  <si>
    <t>1402/10/23</t>
  </si>
  <si>
    <t xml:space="preserve"> حواله ساتنا به حساب IR 91 0180 0000 0000 9527 9099 77 نزد بانک تجارت  بنام آقای سهیل واحدیان بابت تسویه کامل حقوق و عیدی و بازخرید خدمت و طلب مرخصی و ... تا پایان 1402/07/25</t>
  </si>
  <si>
    <t>1402/10/26</t>
  </si>
  <si>
    <t xml:space="preserve"> پرداخت مابه التفاوت حقوق و دستمزد آذر ماه 1402 پرسنل سایت طبق لیست پیوست</t>
  </si>
  <si>
    <t xml:space="preserve"> پرداخت مابه التفاوت هزینه های مهندسی دی ماه 1402 کارکنان شرکت طبق لیست پیوست</t>
  </si>
  <si>
    <t xml:space="preserve"> پرداخت مابه التفاوت حقوق و دستمزد دی ماه 1402 کارکنان شرکت طبق لیست پیوست</t>
  </si>
  <si>
    <t>1402/11/08</t>
  </si>
  <si>
    <t>1402/11/10</t>
  </si>
  <si>
    <t xml:space="preserve"> حواله ساتنا به حساب IR 85 0620 0000 0010 1714 5570 04  بنام آقای سام نصیری پور بابت خرید کالا </t>
  </si>
  <si>
    <t>1402/11/23</t>
  </si>
  <si>
    <t xml:space="preserve"> آدیش جنوبی جهت حواله ساتنا به حساب IR28 0180 0000 0000 2638 0808 45  نزد بانک تجارت به نام آقایان امید رضا تشخیصی و رضا صفری و اسماعیل کرمی جهت خرید لوازم</t>
  </si>
  <si>
    <t>1402/11/29</t>
  </si>
  <si>
    <t xml:space="preserve"> پرداخت مابه التفاوت حقوق و دستمزد دی ماه 1402 پرسنل سایت طبق لیست پیوست</t>
  </si>
  <si>
    <t xml:space="preserve"> حواله ساتنا به حساب IR 87 0170 0000 0020 0371 9490 09   بنام آقای محمد باغشنی بابت خرید کالا </t>
  </si>
  <si>
    <t>1402/11/30</t>
  </si>
  <si>
    <t>1402/12/01</t>
  </si>
  <si>
    <t>پرداخت جهت حواله ساتنا به حساب IR 28 0180 0000 0000 2638 0808 45  نزد بانک تجارت به نام آقایان امید رضا تشخیصی و رضا صفری و اسماعیل کرمی جهت خرید کالا (6 سایت)</t>
  </si>
  <si>
    <t xml:space="preserve"> پرداخت مابه التفاوت حقوق و دستمزد بهمن ماه 1402 کارکنان شرکت طبق لیست پیوست</t>
  </si>
  <si>
    <t xml:space="preserve"> پرداخت مابه التفاوت هزینه های مهندسی بهمن ماه 1402 کارکنان شرکت طبق لیست پیوست</t>
  </si>
  <si>
    <t>1402/12/13</t>
  </si>
  <si>
    <t>1402/12/22</t>
  </si>
  <si>
    <t xml:space="preserve"> پرداخت مابه التفاوت حقوق و دستمزد بهمن ماه 1402 پرسنل سایت طبق لیست پیوست</t>
  </si>
  <si>
    <t>1402/12/26</t>
  </si>
  <si>
    <t xml:space="preserve"> پرداخت مابه التفاوت حقوق و دستمزد اسفند ماه 1402 کارکنان شرکت طبق لیست پیوست</t>
  </si>
  <si>
    <t xml:space="preserve"> پرداخت مابه التفاوت هزینه های مهندسی اسفند ماه 1402 کارکنان شرکت طبق لیست پیوست</t>
  </si>
  <si>
    <t xml:space="preserve"> شارژ بن کارت تولد پرسنل شرکت طبق لیست پیوست</t>
  </si>
  <si>
    <t xml:space="preserve"> حواله ساتنا به حساب IR 97 0700 0010 0011 9603 0640 01   بنام آقای محمد مهدی کرکه آبادی بابت خرید کالا </t>
  </si>
  <si>
    <t xml:space="preserve"> پرداخت پاداش سال 1402 پرسنل سایت طبق لیست پیوست</t>
  </si>
  <si>
    <t xml:space="preserve"> پرداخت پاداش سال 1402 پرسنل دفتر مرکزی طبق لیست پیوست</t>
  </si>
  <si>
    <t xml:space="preserve"> پرداخت مابه التفاوت حقوق و دستمزد اسفند ماه 1402 پرسنل سایت طبق لیست پیوست</t>
  </si>
  <si>
    <t>1403/02/04</t>
  </si>
  <si>
    <t xml:space="preserve"> حواله ساتنا به حساب IR 24 0190 0000 0010 6801 0360 06  نزد بانک صادرات بنام آقای پوریا شهبازی بابت خرید کالا </t>
  </si>
  <si>
    <t>1403/02/08</t>
  </si>
  <si>
    <t>1403/02/10</t>
  </si>
  <si>
    <t xml:space="preserve">پرداخت جهت حواله ساتنا به حساب IR 28 0180 0000 0000 2638 0808 45  نزد بانک تجارت به نام آقایان امید رضا تشخیصی و رضا صفری و اسماعیل کرمی جهت خرید کالا </t>
  </si>
  <si>
    <t xml:space="preserve"> پرداخت مابه التفاوت حقوق و دستمزد فروردین ماه 1403 کارکنان شرکت طبق لیست پیوست</t>
  </si>
  <si>
    <t xml:space="preserve"> پرداخت مابه التفاوت هزینه های مهندسی فروردین ماه 1403 کارکنان شرکت طبق لیست پیوست</t>
  </si>
  <si>
    <t>1403/02/19</t>
  </si>
  <si>
    <t xml:space="preserve"> پرداخت مابه التفاوت حقوق و دستمزد اردیبهشت ماه 1403 کارکنان شرکت طبق لیست پیوست</t>
  </si>
  <si>
    <t xml:space="preserve"> پرداخت مابه التفاوت هزینه های مهندسی اردیبهشت ماه 1403 کارکنان شرکت طبق لیست پیوست</t>
  </si>
  <si>
    <t>1403/03/13</t>
  </si>
  <si>
    <t xml:space="preserve"> واریز به حساب  1-6094706-800-142  بنام آقای سیاوش شاهانی بابت مابقی حقوق اردیبهشت ماه 1403 </t>
  </si>
  <si>
    <t>1403/03/20</t>
  </si>
  <si>
    <t xml:space="preserve"> واریز به حساب  1-5528610-800-209  بنام آقای مجید پابخش بابت مابقی حقوق اردیبهشت ماه 1403 </t>
  </si>
  <si>
    <t xml:space="preserve"> حواله ساتنا به حساب IR87 0180 0000 0000 3538 6852 07  نزد بانک تجارت بنام آقای علی بیژن پور بابت مابقی حقوق اردیبهشت ماه 1403 </t>
  </si>
  <si>
    <t>1403/03/23</t>
  </si>
  <si>
    <t>1403/04/03</t>
  </si>
  <si>
    <t xml:space="preserve"> پرداخت مابه التفاوت حقوق اردیبهشت ماه 1403 کارکنان کارگاه طبق لیست پیوست</t>
  </si>
  <si>
    <t xml:space="preserve"> پرداخت مابه التفاوت حقوق و دستمزد خرداد ماه 1403 کارکنان شرکت طبق لیست پیوست</t>
  </si>
  <si>
    <t>1403/04/13</t>
  </si>
  <si>
    <t xml:space="preserve"> پرداخت مابه التفاوت هزینه های مهندسی خرداد ماه 1403 کارکنان شرکت طبق لیست پیوست</t>
  </si>
  <si>
    <t>1403/04/17</t>
  </si>
  <si>
    <t xml:space="preserve"> پرداخت حقوق اردیبهشت ماه 1403 کارکنان کارگاه طبق لیست پیوست</t>
  </si>
  <si>
    <t xml:space="preserve"> شارژ بن کارت تولد 1 نفر پرسنل شرکت طبق لیست پیوست</t>
  </si>
  <si>
    <t>1403/04/23</t>
  </si>
  <si>
    <t xml:space="preserve"> پرداخت مابه التفاوت حقوق خرداد ماه 1403 کارکنان کارگاه طبق لیست پیوست</t>
  </si>
  <si>
    <t xml:space="preserve"> پرداخت مابه التفاوت حقوق و دستمزد تیر ماه 1403 کارکنان شرکت طبق لیست پیوست</t>
  </si>
  <si>
    <t xml:space="preserve"> پرداخت مابه التفاوت هزینه های مهندسی تیر ماه 1403 کارکنان شرکت طبق لیست پیوست</t>
  </si>
  <si>
    <t>1403/05/14</t>
  </si>
  <si>
    <t>1403/05/16</t>
  </si>
  <si>
    <t xml:space="preserve">واریز به حساب 1-7100600-800-1371 نزد بانک اقتصاد نوین بنام آقای محمد حجتی بابت حقوق کارکنان ساعتی </t>
  </si>
  <si>
    <t xml:space="preserve">واریز به حساب 1-6603574-800-2314 نزد بانک اقتصاد نوین بنام آقای عبد الرسول غیاثی بابت حقوق کارکنان ساعتی </t>
  </si>
  <si>
    <t>1403/05/17</t>
  </si>
  <si>
    <t xml:space="preserve">حواله ساتنا به حساب IR 49 0180 0000 0023 6435 3670 52 نزد بانک تجارت بنام آقای امیر محمودی دستجرد بابت حقوق کارکنان ساعتی </t>
  </si>
  <si>
    <t xml:space="preserve">حواله ساتنا به حساب IR 71 0180 0000 0000 9538 5048 71 نزد بانک تجارت بنام آقای توفیق ربیعه بابت حقوق کارکنان ساعتی </t>
  </si>
  <si>
    <t>1403/05/20</t>
  </si>
  <si>
    <t>شارژ بن کارت هدیه تولد پرسنل شرکت طبق لیست پیوست</t>
  </si>
  <si>
    <t>1403/05/28</t>
  </si>
  <si>
    <t xml:space="preserve"> پرداخت مابه التفاوت حقوق تیر ماه 1403 کارکنان سایت طبق لیست پیوست</t>
  </si>
  <si>
    <t>1403/06/03</t>
  </si>
  <si>
    <t xml:space="preserve">پرداخت جهت حواله ساتنا  IR 64 0120 0000 0000 9321 9823 78  بنام آقای حمید رضا پور کریم بابت تسویه حقوق 108 ساعت کارکرد آذر و دی ماه 1402 </t>
  </si>
  <si>
    <t xml:space="preserve"> پرداخت مابه التفاوت حقوق و دستمزد مرداد ماه 1403 کارکنان شرکت طبق لیست پیوست</t>
  </si>
  <si>
    <t xml:space="preserve"> پرداخت مابه التفاوت هزینه های مهندسی مرداد ماه 1403 کارکنان شرکت طبق لیست پیوست</t>
  </si>
  <si>
    <t>1403/06/18</t>
  </si>
  <si>
    <t>پرداخت جهت حواله ساتنا به حساب IR12 0180 0000 0000 9549 8696 77 نزد بانک تجارت بنام آقای رضا صفری بابت خرید کالا و هدایا</t>
  </si>
  <si>
    <t>1403/06/25</t>
  </si>
  <si>
    <t>1403/06/27</t>
  </si>
  <si>
    <t xml:space="preserve">پرداخت جهت واریز به حساب 1-4511955-800-130 نزد بانک اقتصاد نوین بنام خانم محبوبه مشهور بابت هزینه گواهی مبدا محموله </t>
  </si>
  <si>
    <t>1403/06/28</t>
  </si>
  <si>
    <t>پرداخت جهت واریز به حساب 1-4658529-800-175 نزد بانک اقتصاد نوین بنام آقای حمید رضا پورکریم بابت حقوق مرداد ماه 1403</t>
  </si>
  <si>
    <t xml:space="preserve">پرداخت جهت حواله ساتنا  IR 78 0180 0000 0000 3235 5268 07  نزد بانک تجارت بنام آقای سید علیرضا فخارزاده بابت تسویه حقوق  36:30 ساعت کارکرد تیر و مرداد ماه 1403 </t>
  </si>
  <si>
    <t xml:space="preserve">پرداخت جهت حواله ساتنا  IR 37 0180 0000 0000 0306 8202 22  نزد بانک تجارت بنام  بابت تسویه حساب کامل آقای حسین عالی وند تا تاریخ 1403/03/12 -واریز به حساب سپهر مولد بابت بدهی بیمه تکمیلی سال 1402 </t>
  </si>
  <si>
    <t xml:space="preserve"> پرداخت مابه التفاوت حقوق و دستمزد مرداد ماه 1403 کارکنان سایت طبق لیست پیوست</t>
  </si>
  <si>
    <t>1403/07/08</t>
  </si>
  <si>
    <t>شرکت آدیش جنوبی جهت پرداخت حقوق مرداد و شهریور 1403 کارکنان شرکت پالایش میعانات گازی آدیش جنوبی طبق لیست پیوست</t>
  </si>
  <si>
    <t>1403/07/09</t>
  </si>
  <si>
    <t xml:space="preserve">پرداخت جهت حواله ساتنا به حساب IR12 0180 0000 0000 9549 8696 77 نزد بانک تجارت بنام آقای رضا صفری بابت خرید کالا </t>
  </si>
  <si>
    <t>1403/07/11</t>
  </si>
  <si>
    <t xml:space="preserve"> پرداخت مابه التفاوت حقوق و دستمزد شهریور ماه 1403 کارکنان شرکت طبق لیست پیوست</t>
  </si>
  <si>
    <t xml:space="preserve"> پرداخت مابه التفاوت هزینه های مهندسی شهریور ماه 1403 کارکنان شرکت طبق لیست پیوست</t>
  </si>
  <si>
    <t>1403/07/14</t>
  </si>
  <si>
    <t>1403/07/15</t>
  </si>
  <si>
    <t xml:space="preserve"> واریز به حساب 1-3028498-800-215 نزد بانک اقتصاد نوین بنام خانم پروین صادق آبادی بابت مابه التفاوت حقوق شهریور ماه </t>
  </si>
  <si>
    <t>1403/07/18</t>
  </si>
  <si>
    <t xml:space="preserve">پرداخت جهت واریز به حساب 1-2688597-800-215 بنام آقای محسن خستو به شماره ملی 4839597987 بابت خرید کالا </t>
  </si>
  <si>
    <t>1403/07/30</t>
  </si>
  <si>
    <t xml:space="preserve"> پرداخت مابه التفاوت حقوق و دستمزد شهریور ماه 1403 کارکنان سایت طبق لیست پیوست</t>
  </si>
  <si>
    <t>1403/08/01</t>
  </si>
  <si>
    <t xml:space="preserve"> پرداخت مابه التفاوت حقوق و دستمزد مهر ماه 1403 کارکنان شرکت طبق لیست پیوست</t>
  </si>
  <si>
    <t xml:space="preserve"> پرداخت مابه التفاوت هزینه های مهندسی مهر ماه 1403 کارکنان شرکت طبق لیست پیوست</t>
  </si>
  <si>
    <t>1403/08/13</t>
  </si>
  <si>
    <t xml:space="preserve"> آدیش جنوبی جهت حواله ساتنا IR 67 0120 0000 0000 0299 1367 05  نزد بانک ملت بنام خانم پروین صادق آبادی بابت خرید کالا </t>
  </si>
  <si>
    <t>1403/08/14</t>
  </si>
  <si>
    <t>1403/09/07</t>
  </si>
  <si>
    <t xml:space="preserve"> پرداخت مابه التفاوت حقوق و دستمزد مهر ماه 1403 کارکنان سایت طبق لیست پیوست</t>
  </si>
  <si>
    <t xml:space="preserve">جهت واریز به حساب 1-3827295-800-148 نزد بانک اقتصاد نوین بنام آقای امیر عباس ایماغیان بابت خرید کالا  </t>
  </si>
  <si>
    <t>1403/09/10</t>
  </si>
  <si>
    <t xml:space="preserve">جهت واریز به حساب 1-5952606-800-215 نزد بانک اقتصاد نوین بنام آقای مهدی جلالی مشایخی بابت خرید کالا  </t>
  </si>
  <si>
    <t>1403/09/17</t>
  </si>
  <si>
    <t xml:space="preserve"> پرداخت مابه التفاوت هزینه های مهندسی آبان ماه 1403 کارکنان شرکت طبق لیست پیوست</t>
  </si>
  <si>
    <t xml:space="preserve"> پرداخت مابه التفاوت حقوق و دستمزد آبان ماه 1403 کارکنان شرکت طبق لیست پیوست</t>
  </si>
  <si>
    <t>1403/09/18</t>
  </si>
  <si>
    <t xml:space="preserve">پرداخت جهت حواله ساتنا به حساب  IR 28 0180 0000 0000 2638 0808 45  نزد بانک تجارت به نام آقایان امید رضا تشخیصی و رضا صفری و اسماعیل کرمی جهت تسویه حساب آقای محمد رضا لیموچی </t>
  </si>
  <si>
    <t>1403/09/21</t>
  </si>
  <si>
    <t>1403/09/27</t>
  </si>
  <si>
    <t>پرداخت جهت واریز به حساب  1-5506153-800-215  نزد بانک اقتصاد نوین بنام آقای شهاب الدین متاجی بابت علی الحساب کارکرد ایشان</t>
  </si>
  <si>
    <t xml:space="preserve">پرداخت جهت شارژ بن کارت شب یلدا 4 نفر پرسنل شرکت طبق لیست پیوست </t>
  </si>
  <si>
    <t>1403/10/01</t>
  </si>
  <si>
    <t xml:space="preserve"> پرداخت مابه التفاوت حقوق و دستمزد آبان ماه 1403 کارکنان سایت طبق لیست پیوست</t>
  </si>
  <si>
    <t xml:space="preserve"> پرداخت مابه التفاوت هزینه های مهندسی آذر ماه 1403 کارکنان شرکت طبق لیست پیوست</t>
  </si>
  <si>
    <t xml:space="preserve"> پرداخت مابه التفاوت حقوق و دستمزد آذر ماه 1403 کارکنان شرکت طبق لیست پیوست</t>
  </si>
  <si>
    <t>1403/10/17</t>
  </si>
  <si>
    <t xml:space="preserve"> پرداخت مابه التفاوت حقوق و دستمزد آذر ماه 1403 کارکنان سایت طبق لیست پیوست</t>
  </si>
  <si>
    <t>1403/10/30</t>
  </si>
  <si>
    <t>شرکت آدیش جنوبی جهت پرداخت حقوق و دستمزد دی ماه 1403 کارکنان شرکت پالایش میعانات گازی آدیش جنوبی طبق لیست پیوست</t>
  </si>
  <si>
    <t>شرکت آدیش جنوبی جهت پرداخت هزینه های مهندسی دی ماه 1403 کارکنان شرکت پالایش میعانات گازی آدیش جنوبی طبق لیست پیوست</t>
  </si>
  <si>
    <t>1403/11/21</t>
  </si>
  <si>
    <t xml:space="preserve"> پرداخت مابه التفاوت حقوق و دستمزد دی ماه 1403 کارکنان سایت طبق لیست پیوست</t>
  </si>
  <si>
    <t>1403/12/08</t>
  </si>
  <si>
    <t>1403/12/19</t>
  </si>
  <si>
    <t xml:space="preserve"> پرداخت مابه التفاوت حقوق و دستمزد بهمن ماه 1403 کارکنان شرکت طبق لیست پیوست</t>
  </si>
  <si>
    <t xml:space="preserve"> پرداخت مابه التفاوت هزینه های مهندسی بهمن ماه 1403 کارکنان شرکت طبق لیست پیوست</t>
  </si>
  <si>
    <t>1403/12/20</t>
  </si>
  <si>
    <t>پرداخت جهت واریز به حساب  1-7470599-800-151  نزد بانک اقتصاد نوین بنام خانم پریسا جزائری بابت مابه التفاوت حقوق بهمن ماه 1403</t>
  </si>
  <si>
    <t xml:space="preserve"> پرداخت مابه التفاوت حقوق و دستمزد بهمن ماه 1403 کارکنان سایت طبق لیست پیوست</t>
  </si>
  <si>
    <t>1403/12/26</t>
  </si>
  <si>
    <t xml:space="preserve"> پرداخت مابه التفاوت حقوق و دستمزد اسفند  ماه 1403 کارکنان شرکت طبق لیست پیوست</t>
  </si>
  <si>
    <t>1403/12/27</t>
  </si>
  <si>
    <t xml:space="preserve">پنج میلیارد و هشتصد و سیزده میلیون و ششصد و چهل و هفت هزار و سیصد و نوزده </t>
  </si>
  <si>
    <t>1404/02/01</t>
  </si>
  <si>
    <t>شرکت آدیش جنوبی جهت پرداخت حقوق اسفند ماه 1403 و عیدی کارکنان شرکت پالایش میعانات گازی آدیش جنوبی طبق لیست پیوست</t>
  </si>
  <si>
    <t>بشرکت آدیش جنوبی بابت حقوق کارکنان بابت تتمه اسفند ماه 1403 و طلب مرخصی و سنوات</t>
  </si>
  <si>
    <t>1404/02/07</t>
  </si>
  <si>
    <t>شش میلیارد و چهارصد و سی و یک میلیون و پانصد و سی و هفت هزار و چهارصد و پنجاه و سه ریال</t>
  </si>
  <si>
    <t>شرکت آدیش جنوبی 'بابت حقوق کارکنان بابت هزینه های مهندسی اسفند ماه 1403 کارکنان</t>
  </si>
  <si>
    <t>دو میلیارد و هشتصد و هشتاد و نه میلیون و دویست و نود و نه هزار و پانصد و نود و چهار ریال تمام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</si>
</sst>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quot;ريال&quot;\ * #,##0.00_-;_-&quot;ريال&quot;\ * #,##0.00\-;_-&quot;ريال&quot;\ * &quot;-&quot;??_-;_-@_-"/>
    <numFmt numFmtId="165" formatCode="_-* #,##0.00_-;_-* #,##0.00\-;_-* &quot;-&quot;??_-;_-@_-"/>
    <numFmt numFmtId="166" formatCode="_-* #,##0_-;_-* #,##0\-;_-* &quot;-&quot;??_-;_-@_-"/>
    <numFmt numFmtId="167" formatCode="#,##0_ ;\-#,##0\ "/>
    <numFmt numFmtId="168" formatCode="_-* #,##0\ _ _-;\-* #,##0\ _ _-;_-* &quot;-&quot;\ _ _-;_-@_-"/>
    <numFmt numFmtId="169" formatCode="mm/dd/yyyy"/>
  </numFmts>
  <fonts count="217">
    <font>
      <sz val="11"/>
      <color theme="1"/>
      <name val="Calibri"/>
      <family val="2"/>
      <charset val="178"/>
      <scheme val="minor"/>
    </font>
    <font>
      <sz val="11"/>
      <color theme="1"/>
      <name val="Calibri"/>
      <family val="2"/>
      <charset val="178"/>
      <scheme val="minor"/>
    </font>
    <font>
      <sz val="12"/>
      <color theme="1"/>
      <name val="B Nazanin"/>
      <charset val="178"/>
    </font>
    <font>
      <b/>
      <sz val="12"/>
      <name val="B Nazanin"/>
      <charset val="178"/>
    </font>
    <font>
      <b/>
      <u/>
      <sz val="12"/>
      <color theme="1"/>
      <name val="B Nazanin"/>
      <charset val="178"/>
    </font>
    <font>
      <sz val="11"/>
      <color theme="1"/>
      <name val="B Nazanin"/>
      <charset val="178"/>
    </font>
    <font>
      <b/>
      <sz val="11"/>
      <color theme="1"/>
      <name val="B Nazanin"/>
      <charset val="178"/>
    </font>
    <font>
      <b/>
      <sz val="12"/>
      <color theme="1"/>
      <name val="B Yekan"/>
      <charset val="178"/>
    </font>
    <font>
      <b/>
      <sz val="11"/>
      <color theme="1"/>
      <name val="B Zar"/>
      <charset val="178"/>
    </font>
    <font>
      <sz val="11"/>
      <color theme="1"/>
      <name val="B Zar"/>
      <charset val="178"/>
    </font>
    <font>
      <b/>
      <sz val="12"/>
      <color theme="1"/>
      <name val="B Nazanin"/>
      <charset val="178"/>
    </font>
    <font>
      <sz val="12"/>
      <color theme="1"/>
      <name val="B Nazanin"/>
      <charset val="178"/>
    </font>
    <font>
      <sz val="16"/>
      <color theme="1"/>
      <name val="B Nazanin"/>
      <charset val="178"/>
    </font>
    <font>
      <sz val="12"/>
      <color theme="1"/>
      <name val="B Nazanin"/>
      <charset val="178"/>
    </font>
    <font>
      <sz val="12"/>
      <color theme="1"/>
      <name val="B Nazanin"/>
      <charset val="178"/>
    </font>
    <font>
      <sz val="12"/>
      <color theme="1"/>
      <name val="B Nazanin"/>
      <charset val="178"/>
    </font>
    <font>
      <sz val="12"/>
      <color theme="1"/>
      <name val="B Nazanin"/>
      <charset val="178"/>
    </font>
    <font>
      <sz val="12"/>
      <color theme="1"/>
      <name val="B Nazanin"/>
      <charset val="178"/>
    </font>
    <font>
      <sz val="12"/>
      <color theme="1"/>
      <name val="B Nazanin"/>
      <charset val="178"/>
    </font>
    <font>
      <sz val="12"/>
      <color theme="1"/>
      <name val="B Nazanin"/>
      <charset val="178"/>
    </font>
    <font>
      <sz val="12"/>
      <color theme="1"/>
      <name val="B Nazanin"/>
      <charset val="178"/>
    </font>
    <font>
      <sz val="12"/>
      <color theme="1"/>
      <name val="B Nazanin"/>
      <charset val="178"/>
    </font>
    <font>
      <sz val="12"/>
      <color theme="1"/>
      <name val="B Nazanin"/>
      <charset val="178"/>
    </font>
    <font>
      <sz val="12"/>
      <color theme="1"/>
      <name val="B Nazanin"/>
      <charset val="178"/>
    </font>
    <font>
      <sz val="12"/>
      <color theme="1"/>
      <name val="B Nazanin"/>
      <charset val="178"/>
    </font>
    <font>
      <sz val="12"/>
      <color theme="1"/>
      <name val="B Nazanin"/>
      <charset val="178"/>
    </font>
    <font>
      <sz val="12"/>
      <color theme="1"/>
      <name val="B Nazanin"/>
      <charset val="178"/>
    </font>
    <font>
      <i/>
      <sz val="12"/>
      <color theme="1"/>
      <name val="B Nazanin"/>
      <charset val="178"/>
    </font>
    <font>
      <sz val="12"/>
      <color theme="1"/>
      <name val="B Nazanin"/>
      <charset val="178"/>
    </font>
    <font>
      <sz val="12"/>
      <color theme="1"/>
      <name val="B Nazanin"/>
      <charset val="178"/>
    </font>
    <font>
      <sz val="12"/>
      <color theme="1"/>
      <name val="B Nazanin"/>
      <charset val="178"/>
    </font>
    <font>
      <sz val="12"/>
      <color theme="1"/>
      <name val="B Nazanin"/>
      <charset val="178"/>
    </font>
    <font>
      <sz val="12"/>
      <color theme="1"/>
      <name val="B Nazanin"/>
      <charset val="178"/>
    </font>
    <font>
      <sz val="12"/>
      <color theme="1"/>
      <name val="B Nazanin"/>
      <charset val="178"/>
    </font>
    <font>
      <sz val="12"/>
      <color theme="1"/>
      <name val="B Nazanin"/>
      <charset val="178"/>
    </font>
    <font>
      <b/>
      <sz val="14"/>
      <color theme="1"/>
      <name val="B Nazanin"/>
      <charset val="178"/>
    </font>
    <font>
      <sz val="12"/>
      <name val="B Nazanin"/>
      <charset val="178"/>
    </font>
    <font>
      <sz val="12"/>
      <color theme="1"/>
      <name val="B Nazanin"/>
      <charset val="178"/>
    </font>
    <font>
      <sz val="12"/>
      <color theme="1"/>
      <name val="B Nazanin"/>
      <charset val="178"/>
    </font>
    <font>
      <sz val="12"/>
      <color theme="1"/>
      <name val="B Nazanin"/>
      <charset val="178"/>
    </font>
    <font>
      <sz val="12"/>
      <color theme="1"/>
      <name val="B Nazanin"/>
      <charset val="178"/>
    </font>
    <font>
      <sz val="12"/>
      <color theme="1"/>
      <name val="B Nazanin"/>
      <charset val="178"/>
    </font>
    <font>
      <b/>
      <sz val="20"/>
      <color theme="1"/>
      <name val="B Nazanin"/>
      <charset val="178"/>
    </font>
    <font>
      <sz val="12"/>
      <color theme="1"/>
      <name val="B Nazanin"/>
      <charset val="178"/>
    </font>
    <font>
      <sz val="12"/>
      <color theme="1"/>
      <name val="B Nazanin"/>
      <charset val="178"/>
    </font>
    <font>
      <b/>
      <sz val="12"/>
      <name val="B Nazanin"/>
      <charset val="178"/>
    </font>
    <font>
      <sz val="12"/>
      <color theme="1"/>
      <name val="B Nazanin"/>
      <charset val="178"/>
    </font>
    <font>
      <b/>
      <sz val="11"/>
      <color theme="3"/>
      <name val="Calibri"/>
      <family val="2"/>
      <charset val="178"/>
      <scheme val="minor"/>
    </font>
    <font>
      <b/>
      <sz val="12"/>
      <name val="B Nazanin"/>
      <charset val="178"/>
    </font>
    <font>
      <sz val="12"/>
      <color theme="1"/>
      <name val="B Nazanin"/>
      <charset val="178"/>
    </font>
    <font>
      <b/>
      <sz val="16"/>
      <color theme="1"/>
      <name val="B Zar"/>
      <charset val="178"/>
    </font>
    <font>
      <b/>
      <sz val="16"/>
      <color theme="1"/>
      <name val="B Nazanin"/>
      <charset val="178"/>
    </font>
    <font>
      <sz val="18"/>
      <color theme="1"/>
      <name val="B Nazanin"/>
      <charset val="178"/>
    </font>
    <font>
      <sz val="20"/>
      <color theme="1"/>
      <name val="B Nazanin"/>
      <charset val="178"/>
    </font>
    <font>
      <b/>
      <sz val="18"/>
      <color theme="1"/>
      <name val="B Zar"/>
      <charset val="178"/>
    </font>
    <font>
      <b/>
      <sz val="18"/>
      <color theme="1"/>
      <name val="B Nazanin"/>
      <charset val="178"/>
    </font>
    <font>
      <b/>
      <sz val="12"/>
      <name val="B Nazanin"/>
      <charset val="178"/>
    </font>
    <font>
      <sz val="12"/>
      <color theme="1"/>
      <name val="B Nazanin"/>
      <charset val="178"/>
    </font>
    <font>
      <sz val="12"/>
      <color theme="1"/>
      <name val="B Nazanin"/>
      <charset val="178"/>
    </font>
    <font>
      <sz val="12"/>
      <color theme="1"/>
      <name val="B Nazanin"/>
      <charset val="178"/>
    </font>
    <font>
      <sz val="8"/>
      <name val="Calibri"/>
      <family val="2"/>
      <charset val="178"/>
      <scheme val="minor"/>
    </font>
    <font>
      <sz val="12"/>
      <color theme="1"/>
      <name val="B Nazanin"/>
      <charset val="178"/>
    </font>
    <font>
      <sz val="12"/>
      <color theme="1"/>
      <name val="B Nazanin"/>
      <charset val="178"/>
    </font>
    <font>
      <b/>
      <sz val="12"/>
      <name val="B Nazanin"/>
      <charset val="178"/>
    </font>
    <font>
      <sz val="12"/>
      <color theme="1"/>
      <name val="B Nazanin"/>
      <charset val="178"/>
    </font>
    <font>
      <b/>
      <sz val="12"/>
      <name val="B Nazanin"/>
      <charset val="178"/>
    </font>
    <font>
      <sz val="12"/>
      <color theme="1"/>
      <name val="B Nazanin"/>
      <charset val="178"/>
    </font>
    <font>
      <b/>
      <sz val="12"/>
      <name val="B Nazanin"/>
      <charset val="178"/>
    </font>
    <font>
      <sz val="12"/>
      <color theme="1"/>
      <name val="B Nazanin"/>
      <charset val="178"/>
    </font>
    <font>
      <b/>
      <sz val="12"/>
      <name val="B Nazanin"/>
      <charset val="178"/>
    </font>
    <font>
      <sz val="12"/>
      <color theme="1"/>
      <name val="B Nazanin"/>
      <charset val="178"/>
    </font>
    <font>
      <b/>
      <sz val="12"/>
      <name val="B Nazanin"/>
      <charset val="178"/>
    </font>
    <font>
      <sz val="12"/>
      <color theme="1"/>
      <name val="B Nazanin"/>
      <charset val="178"/>
    </font>
    <font>
      <b/>
      <sz val="12"/>
      <name val="B Nazanin"/>
      <charset val="178"/>
    </font>
    <font>
      <sz val="12"/>
      <color theme="1"/>
      <name val="B Nazanin"/>
      <charset val="178"/>
    </font>
    <font>
      <b/>
      <sz val="12"/>
      <color theme="3"/>
      <name val="B Nazanin"/>
      <charset val="178"/>
    </font>
    <font>
      <sz val="12"/>
      <color theme="3"/>
      <name val="B Nazanin"/>
      <charset val="178"/>
    </font>
    <font>
      <b/>
      <sz val="12"/>
      <name val="B Nazanin"/>
      <charset val="178"/>
    </font>
    <font>
      <sz val="12"/>
      <color theme="1"/>
      <name val="B Nazanin"/>
      <charset val="178"/>
    </font>
    <font>
      <sz val="12"/>
      <color rgb="FFFF0000"/>
      <name val="B Nazanin"/>
      <charset val="178"/>
    </font>
    <font>
      <b/>
      <sz val="12"/>
      <color theme="9" tint="0.59999389629810485"/>
      <name val="B Nazanin"/>
      <charset val="178"/>
    </font>
    <font>
      <sz val="12"/>
      <color theme="9" tint="0.59999389629810485"/>
      <name val="B Nazanin"/>
      <charset val="178"/>
    </font>
    <font>
      <b/>
      <sz val="12"/>
      <color rgb="FFFF0000"/>
      <name val="B Nazanin"/>
      <charset val="178"/>
    </font>
    <font>
      <b/>
      <sz val="12"/>
      <name val="B Nazanin"/>
      <charset val="178"/>
    </font>
    <font>
      <sz val="12"/>
      <color theme="1"/>
      <name val="B Nazanin"/>
      <charset val="178"/>
    </font>
    <font>
      <b/>
      <sz val="12"/>
      <name val="B Nazanin"/>
      <charset val="178"/>
    </font>
    <font>
      <sz val="12"/>
      <color theme="1"/>
      <name val="B Nazanin"/>
      <charset val="178"/>
    </font>
    <font>
      <b/>
      <sz val="12"/>
      <name val="B Nazanin"/>
      <charset val="178"/>
    </font>
    <font>
      <sz val="12"/>
      <color theme="1"/>
      <name val="B Nazanin"/>
      <charset val="178"/>
    </font>
    <font>
      <b/>
      <sz val="12"/>
      <name val="B Nazanin"/>
      <charset val="178"/>
    </font>
    <font>
      <sz val="12"/>
      <color theme="1"/>
      <name val="B Nazanin"/>
      <charset val="178"/>
    </font>
    <font>
      <b/>
      <sz val="12"/>
      <name val="B Nazanin"/>
      <charset val="178"/>
    </font>
    <font>
      <sz val="12"/>
      <color theme="1"/>
      <name val="B Nazanin"/>
      <charset val="178"/>
    </font>
    <font>
      <b/>
      <sz val="12"/>
      <name val="B Nazanin"/>
      <charset val="178"/>
    </font>
    <font>
      <sz val="12"/>
      <color theme="1"/>
      <name val="B Nazanin"/>
      <charset val="178"/>
    </font>
    <font>
      <sz val="10"/>
      <name val="Arial"/>
      <family val="2"/>
    </font>
    <font>
      <sz val="10"/>
      <name val="Arial"/>
      <family val="2"/>
    </font>
    <font>
      <b/>
      <sz val="12"/>
      <name val="B Nazanin"/>
      <charset val="178"/>
    </font>
    <font>
      <sz val="12"/>
      <color theme="1"/>
      <name val="B Nazanin"/>
      <charset val="178"/>
    </font>
    <font>
      <b/>
      <sz val="12"/>
      <name val="B Nazanin"/>
      <charset val="178"/>
    </font>
    <font>
      <sz val="12"/>
      <color theme="1"/>
      <name val="B Nazanin"/>
      <charset val="178"/>
    </font>
    <font>
      <b/>
      <sz val="12"/>
      <name val="B Nazanin"/>
      <charset val="178"/>
    </font>
    <font>
      <sz val="12"/>
      <color theme="1"/>
      <name val="B Nazanin"/>
      <charset val="178"/>
    </font>
    <font>
      <b/>
      <sz val="12"/>
      <name val="B Nazanin"/>
      <charset val="178"/>
    </font>
    <font>
      <sz val="12"/>
      <color theme="1"/>
      <name val="B Nazanin"/>
      <charset val="178"/>
    </font>
    <font>
      <b/>
      <sz val="12"/>
      <name val="B Nazanin"/>
      <charset val="178"/>
    </font>
    <font>
      <sz val="12"/>
      <color theme="1"/>
      <name val="B Nazanin"/>
      <charset val="178"/>
    </font>
    <font>
      <b/>
      <sz val="12"/>
      <name val="B Nazanin"/>
      <charset val="178"/>
    </font>
    <font>
      <sz val="12"/>
      <color theme="1"/>
      <name val="B Nazanin"/>
      <charset val="178"/>
    </font>
    <font>
      <b/>
      <sz val="12"/>
      <name val="B Nazanin"/>
      <charset val="178"/>
    </font>
    <font>
      <sz val="12"/>
      <color theme="1"/>
      <name val="B Nazanin"/>
      <charset val="178"/>
    </font>
    <font>
      <b/>
      <sz val="12"/>
      <name val="B Nazanin"/>
      <charset val="178"/>
    </font>
    <font>
      <sz val="12"/>
      <color theme="1"/>
      <name val="B Nazanin"/>
      <charset val="178"/>
    </font>
    <font>
      <b/>
      <sz val="12"/>
      <name val="B Nazanin"/>
      <charset val="178"/>
    </font>
    <font>
      <sz val="12"/>
      <color theme="1"/>
      <name val="B Nazanin"/>
      <charset val="178"/>
    </font>
    <font>
      <b/>
      <sz val="12"/>
      <name val="B Nazanin"/>
      <charset val="178"/>
    </font>
    <font>
      <sz val="12"/>
      <color theme="1"/>
      <name val="B Nazanin"/>
      <charset val="178"/>
    </font>
    <font>
      <b/>
      <sz val="12"/>
      <name val="B Nazanin"/>
      <charset val="178"/>
    </font>
    <font>
      <sz val="12"/>
      <color theme="1"/>
      <name val="B Nazanin"/>
      <charset val="178"/>
    </font>
    <font>
      <b/>
      <sz val="12"/>
      <name val="B Nazanin"/>
      <charset val="178"/>
    </font>
    <font>
      <sz val="12"/>
      <color theme="1"/>
      <name val="B Nazanin"/>
      <charset val="178"/>
    </font>
    <font>
      <b/>
      <sz val="12"/>
      <name val="B Nazanin"/>
      <charset val="178"/>
    </font>
    <font>
      <sz val="12"/>
      <color theme="1"/>
      <name val="B Nazanin"/>
      <charset val="178"/>
    </font>
    <font>
      <b/>
      <sz val="14"/>
      <color rgb="FFFF0000"/>
      <name val="B Nazanin"/>
      <charset val="178"/>
    </font>
    <font>
      <b/>
      <sz val="12"/>
      <name val="B Nazanin"/>
      <charset val="178"/>
    </font>
    <font>
      <sz val="12"/>
      <color theme="1"/>
      <name val="B Nazanin"/>
      <charset val="178"/>
    </font>
    <font>
      <b/>
      <sz val="14"/>
      <color theme="1"/>
      <name val="B Zar"/>
      <charset val="178"/>
    </font>
    <font>
      <b/>
      <sz val="12"/>
      <name val="B Nazanin"/>
      <charset val="178"/>
    </font>
    <font>
      <sz val="12"/>
      <color theme="1"/>
      <name val="B Nazanin"/>
      <charset val="178"/>
    </font>
    <font>
      <b/>
      <sz val="12"/>
      <name val="B Nazanin"/>
      <charset val="178"/>
    </font>
    <font>
      <sz val="12"/>
      <color theme="1"/>
      <name val="B Nazanin"/>
      <charset val="178"/>
    </font>
    <font>
      <b/>
      <sz val="12"/>
      <name val="B Nazanin"/>
      <charset val="178"/>
    </font>
    <font>
      <sz val="12"/>
      <color theme="1"/>
      <name val="B Nazanin"/>
      <charset val="178"/>
    </font>
    <font>
      <b/>
      <sz val="12"/>
      <name val="B Nazanin"/>
      <charset val="178"/>
    </font>
    <font>
      <sz val="12"/>
      <color theme="1"/>
      <name val="B Nazanin"/>
      <charset val="178"/>
    </font>
    <font>
      <b/>
      <sz val="12"/>
      <name val="B Nazanin"/>
      <charset val="178"/>
    </font>
    <font>
      <sz val="12"/>
      <color theme="1"/>
      <name val="B Nazanin"/>
      <charset val="178"/>
    </font>
    <font>
      <b/>
      <sz val="12"/>
      <name val="B Nazanin"/>
      <charset val="178"/>
    </font>
    <font>
      <sz val="12"/>
      <color theme="1"/>
      <name val="B Nazanin"/>
      <charset val="178"/>
    </font>
    <font>
      <b/>
      <sz val="12"/>
      <name val="B Nazanin"/>
      <charset val="178"/>
    </font>
    <font>
      <sz val="12"/>
      <color theme="1"/>
      <name val="B Nazanin"/>
      <charset val="178"/>
    </font>
    <font>
      <b/>
      <sz val="12"/>
      <name val="B Nazanin"/>
      <charset val="178"/>
    </font>
    <font>
      <sz val="12"/>
      <color theme="1"/>
      <name val="B Nazanin"/>
      <charset val="178"/>
    </font>
    <font>
      <b/>
      <sz val="12"/>
      <name val="B Nazanin"/>
      <charset val="178"/>
    </font>
    <font>
      <sz val="12"/>
      <color theme="1"/>
      <name val="B Nazanin"/>
      <charset val="178"/>
    </font>
    <font>
      <b/>
      <sz val="12"/>
      <name val="B Nazanin"/>
      <charset val="178"/>
    </font>
    <font>
      <sz val="12"/>
      <color theme="1"/>
      <name val="B Nazanin"/>
      <charset val="178"/>
    </font>
    <font>
      <b/>
      <sz val="12"/>
      <name val="B Nazanin"/>
      <charset val="178"/>
    </font>
    <font>
      <sz val="12"/>
      <color theme="1"/>
      <name val="B Nazanin"/>
      <charset val="178"/>
    </font>
    <font>
      <b/>
      <sz val="12"/>
      <name val="B Nazanin"/>
      <charset val="178"/>
    </font>
    <font>
      <sz val="12"/>
      <color theme="1"/>
      <name val="B Nazanin"/>
      <charset val="178"/>
    </font>
    <font>
      <sz val="12"/>
      <color theme="1"/>
      <name val="B Nazanin"/>
      <charset val="178"/>
    </font>
    <font>
      <sz val="12"/>
      <color theme="1"/>
      <name val="B Nazanin"/>
      <charset val="178"/>
    </font>
    <font>
      <sz val="12"/>
      <color theme="1"/>
      <name val="B Nazanin"/>
      <charset val="178"/>
    </font>
    <font>
      <b/>
      <sz val="12"/>
      <name val="B Nazanin"/>
      <charset val="178"/>
    </font>
    <font>
      <b/>
      <sz val="12"/>
      <name val="B Nazanin"/>
      <charset val="178"/>
    </font>
    <font>
      <sz val="12"/>
      <color theme="1"/>
      <name val="B Nazanin"/>
      <charset val="178"/>
    </font>
    <font>
      <b/>
      <sz val="12"/>
      <name val="B Nazanin"/>
      <charset val="178"/>
    </font>
    <font>
      <sz val="12"/>
      <color theme="1"/>
      <name val="B Nazanin"/>
      <charset val="178"/>
    </font>
    <font>
      <b/>
      <sz val="12"/>
      <name val="B Nazanin"/>
      <charset val="178"/>
    </font>
    <font>
      <sz val="12"/>
      <color theme="1"/>
      <name val="B Nazanin"/>
      <charset val="178"/>
    </font>
    <font>
      <b/>
      <sz val="12"/>
      <name val="B Nazanin"/>
      <charset val="178"/>
    </font>
    <font>
      <sz val="12"/>
      <color theme="1"/>
      <name val="B Nazanin"/>
      <charset val="178"/>
    </font>
    <font>
      <b/>
      <sz val="12"/>
      <name val="B Nazanin"/>
      <charset val="178"/>
    </font>
    <font>
      <sz val="12"/>
      <color theme="1"/>
      <name val="B Nazanin"/>
      <charset val="178"/>
    </font>
    <font>
      <b/>
      <sz val="12"/>
      <name val="B Nazanin"/>
      <charset val="178"/>
    </font>
    <font>
      <sz val="12"/>
      <color theme="1"/>
      <name val="B Nazanin"/>
      <charset val="178"/>
    </font>
    <font>
      <b/>
      <sz val="12"/>
      <name val="B Nazanin"/>
      <charset val="178"/>
    </font>
    <font>
      <sz val="12"/>
      <color theme="1"/>
      <name val="B Nazanin"/>
      <charset val="178"/>
    </font>
    <font>
      <b/>
      <sz val="12"/>
      <name val="B Nazanin"/>
      <charset val="178"/>
    </font>
    <font>
      <sz val="12"/>
      <color theme="1"/>
      <name val="B Nazanin"/>
      <charset val="178"/>
    </font>
    <font>
      <b/>
      <sz val="12"/>
      <name val="B Nazanin"/>
      <charset val="178"/>
    </font>
    <font>
      <sz val="12"/>
      <color theme="1"/>
      <name val="B Nazanin"/>
      <charset val="178"/>
    </font>
    <font>
      <b/>
      <sz val="12"/>
      <name val="B Nazanin"/>
      <charset val="178"/>
    </font>
    <font>
      <sz val="12"/>
      <color theme="1"/>
      <name val="B Nazanin"/>
      <charset val="178"/>
    </font>
    <font>
      <b/>
      <sz val="12"/>
      <name val="B Nazanin"/>
      <charset val="178"/>
    </font>
    <font>
      <sz val="12"/>
      <color theme="1"/>
      <name val="B Nazanin"/>
      <charset val="178"/>
    </font>
    <font>
      <b/>
      <sz val="12"/>
      <name val="B Nazanin"/>
      <charset val="178"/>
    </font>
    <font>
      <sz val="12"/>
      <color theme="1"/>
      <name val="B Nazanin"/>
      <charset val="178"/>
    </font>
    <font>
      <b/>
      <sz val="12"/>
      <name val="B Nazanin"/>
      <charset val="178"/>
    </font>
    <font>
      <sz val="12"/>
      <color theme="1"/>
      <name val="B Nazanin"/>
      <charset val="178"/>
    </font>
    <font>
      <b/>
      <sz val="12"/>
      <name val="B Nazanin"/>
      <charset val="178"/>
    </font>
    <font>
      <sz val="12"/>
      <color theme="1"/>
      <name val="B Nazanin"/>
      <charset val="178"/>
    </font>
    <font>
      <sz val="12"/>
      <color rgb="FF000000"/>
      <name val="B Nazanin"/>
      <charset val="178"/>
    </font>
    <font>
      <b/>
      <sz val="12"/>
      <name val="B Nazanin"/>
      <charset val="178"/>
    </font>
    <font>
      <sz val="12"/>
      <color rgb="FF000000"/>
      <name val="B Nazanin"/>
      <charset val="178"/>
    </font>
    <font>
      <b/>
      <sz val="12"/>
      <name val="B Nazanin"/>
      <charset val="178"/>
    </font>
    <font>
      <sz val="12"/>
      <color theme="1"/>
      <name val="B Nazanin"/>
      <charset val="178"/>
    </font>
    <font>
      <sz val="12"/>
      <color rgb="FF000000"/>
      <name val="B Nazanin"/>
      <charset val="178"/>
    </font>
    <font>
      <b/>
      <sz val="12"/>
      <name val="B Nazanin"/>
      <charset val="178"/>
    </font>
    <font>
      <sz val="12"/>
      <color theme="1"/>
      <name val="B Nazanin"/>
      <charset val="178"/>
    </font>
    <font>
      <sz val="12"/>
      <color rgb="FF000000"/>
      <name val="B Nazanin"/>
      <charset val="178"/>
    </font>
    <font>
      <b/>
      <sz val="12"/>
      <name val="B Nazanin"/>
      <charset val="178"/>
    </font>
    <font>
      <sz val="12"/>
      <color theme="1"/>
      <name val="B Nazanin"/>
      <charset val="178"/>
    </font>
    <font>
      <sz val="12"/>
      <color rgb="FF000000"/>
      <name val="B Nazanin"/>
      <charset val="178"/>
    </font>
    <font>
      <b/>
      <sz val="12"/>
      <name val="B Nazanin"/>
      <charset val="178"/>
    </font>
    <font>
      <sz val="12"/>
      <color theme="1"/>
      <name val="B Nazanin"/>
      <charset val="178"/>
    </font>
    <font>
      <sz val="12"/>
      <color rgb="FF000000"/>
      <name val="B Nazanin"/>
      <charset val="178"/>
    </font>
    <font>
      <b/>
      <sz val="12"/>
      <name val="B Nazanin"/>
      <charset val="178"/>
    </font>
    <font>
      <sz val="12"/>
      <color theme="1"/>
      <name val="B Nazanin"/>
      <charset val="178"/>
    </font>
    <font>
      <sz val="12"/>
      <color rgb="FF000000"/>
      <name val="B Nazanin"/>
      <charset val="178"/>
    </font>
    <font>
      <b/>
      <sz val="12"/>
      <name val="B Nazanin"/>
      <charset val="178"/>
    </font>
    <font>
      <sz val="12"/>
      <color theme="1"/>
      <name val="B Nazanin"/>
      <charset val="178"/>
    </font>
    <font>
      <sz val="12"/>
      <color rgb="FF000000"/>
      <name val="B Nazanin"/>
      <charset val="178"/>
    </font>
    <font>
      <b/>
      <sz val="12"/>
      <name val="B Nazanin"/>
      <charset val="178"/>
    </font>
    <font>
      <sz val="12"/>
      <color theme="1"/>
      <name val="B Nazanin"/>
      <charset val="178"/>
    </font>
    <font>
      <sz val="12"/>
      <color rgb="FF000000"/>
      <name val="B Nazanin"/>
      <charset val="178"/>
    </font>
    <font>
      <b/>
      <sz val="12"/>
      <name val="B Nazanin"/>
      <charset val="178"/>
    </font>
    <font>
      <sz val="12"/>
      <color theme="1"/>
      <name val="B Nazanin"/>
      <charset val="178"/>
    </font>
    <font>
      <sz val="12"/>
      <color rgb="FF000000"/>
      <name val="B Nazanin"/>
      <charset val="178"/>
    </font>
    <font>
      <b/>
      <sz val="12"/>
      <name val="B Nazanin"/>
      <charset val="178"/>
    </font>
    <font>
      <sz val="12"/>
      <color theme="1"/>
      <name val="B Nazanin"/>
      <charset val="178"/>
    </font>
    <font>
      <sz val="12"/>
      <color rgb="FF000000"/>
      <name val="B Nazanin"/>
      <charset val="178"/>
    </font>
    <font>
      <b/>
      <sz val="12"/>
      <name val="B Nazanin"/>
      <charset val="178"/>
    </font>
    <font>
      <sz val="12"/>
      <color theme="1"/>
      <name val="B Nazanin"/>
      <charset val="178"/>
    </font>
    <font>
      <sz val="12"/>
      <color rgb="FF000000"/>
      <name val="B Nazanin"/>
      <charset val="178"/>
    </font>
    <font>
      <sz val="12"/>
      <color theme="1"/>
      <name val="B Nazanin"/>
    </font>
  </fonts>
  <fills count="13">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rgb="FFFFFF00"/>
        <bgColor indexed="64"/>
      </patternFill>
    </fill>
    <fill>
      <patternFill patternType="solid">
        <fgColor theme="9" tint="0.79998168889431442"/>
        <bgColor theme="9" tint="0.79998168889431442"/>
      </patternFill>
    </fill>
    <fill>
      <patternFill patternType="solid">
        <fgColor theme="9" tint="0.59999389629810485"/>
        <bgColor theme="9" tint="0.59999389629810485"/>
      </patternFill>
    </fill>
    <fill>
      <patternFill patternType="solid">
        <fgColor theme="8" tint="0.79998168889431442"/>
        <bgColor indexed="64"/>
      </patternFill>
    </fill>
    <fill>
      <patternFill patternType="solid">
        <fgColor rgb="FFFF0000"/>
        <bgColor indexed="64"/>
      </patternFill>
    </fill>
    <fill>
      <patternFill patternType="solid">
        <fgColor theme="6" tint="0.79998168889431442"/>
        <bgColor indexed="64"/>
      </patternFill>
    </fill>
    <fill>
      <patternFill patternType="solid">
        <fgColor theme="4" tint="0.79998168889431442"/>
        <bgColor indexed="64"/>
      </patternFill>
    </fill>
  </fills>
  <borders count="1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theme="0"/>
      </left>
      <right style="thin">
        <color theme="0"/>
      </right>
      <top style="thin">
        <color theme="0"/>
      </top>
      <bottom style="thin">
        <color theme="0"/>
      </bottom>
      <diagonal/>
    </border>
    <border>
      <left style="medium">
        <color indexed="64"/>
      </left>
      <right style="medium">
        <color indexed="64"/>
      </right>
      <top style="medium">
        <color indexed="64"/>
      </top>
      <bottom style="medium">
        <color indexed="64"/>
      </bottom>
      <diagonal/>
    </border>
  </borders>
  <cellStyleXfs count="13">
    <xf numFmtId="0" fontId="0" fillId="0" borderId="0"/>
    <xf numFmtId="165" fontId="1" fillId="0" borderId="0" applyFont="0" applyFill="0" applyBorder="0" applyAlignment="0" applyProtection="0"/>
    <xf numFmtId="0" fontId="95" fillId="0" borderId="0"/>
    <xf numFmtId="43" fontId="96" fillId="0" borderId="0" applyFont="0" applyFill="0" applyBorder="0" applyAlignment="0" applyProtection="0"/>
    <xf numFmtId="168" fontId="96" fillId="0" borderId="0" applyFont="0" applyFill="0" applyBorder="0" applyAlignment="0" applyProtection="0"/>
    <xf numFmtId="165" fontId="1" fillId="0" borderId="0" applyFont="0" applyFill="0" applyBorder="0" applyAlignment="0" applyProtection="0"/>
    <xf numFmtId="0" fontId="96" fillId="0" borderId="0"/>
    <xf numFmtId="0" fontId="1" fillId="0" borderId="0"/>
    <xf numFmtId="43"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cellStyleXfs>
  <cellXfs count="472">
    <xf numFmtId="0" fontId="0" fillId="0" borderId="0" xfId="0"/>
    <xf numFmtId="0" fontId="3" fillId="0" borderId="0" xfId="0" applyFont="1" applyAlignment="1">
      <alignment horizontal="center" vertical="center"/>
    </xf>
    <xf numFmtId="166" fontId="3" fillId="0" borderId="0" xfId="1" applyNumberFormat="1" applyFont="1" applyAlignment="1">
      <alignment horizontal="center" vertical="center"/>
    </xf>
    <xf numFmtId="0" fontId="5" fillId="0" borderId="0" xfId="0" applyFont="1"/>
    <xf numFmtId="0" fontId="5" fillId="0" borderId="4" xfId="0" applyFont="1" applyBorder="1"/>
    <xf numFmtId="0" fontId="5" fillId="0" borderId="6" xfId="0" applyFont="1" applyBorder="1"/>
    <xf numFmtId="0" fontId="5" fillId="0" borderId="7" xfId="0" applyFont="1" applyBorder="1"/>
    <xf numFmtId="0" fontId="5" fillId="0" borderId="9" xfId="0" applyFont="1" applyBorder="1"/>
    <xf numFmtId="0" fontId="5" fillId="0" borderId="1" xfId="0" applyFont="1" applyBorder="1"/>
    <xf numFmtId="0" fontId="5" fillId="0" borderId="2" xfId="0" applyFont="1" applyBorder="1"/>
    <xf numFmtId="0" fontId="5" fillId="0" borderId="9" xfId="0" applyFont="1" applyBorder="1" applyAlignment="1">
      <alignment vertical="top"/>
    </xf>
    <xf numFmtId="0" fontId="8" fillId="0" borderId="2" xfId="0" applyFont="1" applyBorder="1"/>
    <xf numFmtId="0" fontId="8" fillId="0" borderId="2" xfId="0" applyFont="1" applyBorder="1" applyAlignment="1">
      <alignment horizontal="left"/>
    </xf>
    <xf numFmtId="0" fontId="8" fillId="0" borderId="9" xfId="0" applyFont="1" applyBorder="1" applyAlignment="1">
      <alignment vertical="top"/>
    </xf>
    <xf numFmtId="0" fontId="9" fillId="0" borderId="9" xfId="0" applyFont="1" applyBorder="1"/>
    <xf numFmtId="0" fontId="8" fillId="0" borderId="10" xfId="0" applyFont="1" applyBorder="1" applyAlignment="1">
      <alignment vertical="top"/>
    </xf>
    <xf numFmtId="0" fontId="2" fillId="2" borderId="4" xfId="0" applyFont="1" applyFill="1" applyBorder="1"/>
    <xf numFmtId="0" fontId="2" fillId="2" borderId="0" xfId="0" applyFont="1" applyFill="1"/>
    <xf numFmtId="0" fontId="2" fillId="2" borderId="0" xfId="0" applyFont="1" applyFill="1" applyAlignment="1">
      <alignment horizontal="left"/>
    </xf>
    <xf numFmtId="0" fontId="2" fillId="0" borderId="0" xfId="0" applyFont="1" applyAlignment="1">
      <alignment horizontal="center" vertical="center"/>
    </xf>
    <xf numFmtId="166" fontId="2" fillId="0" borderId="0" xfId="1" applyNumberFormat="1" applyFont="1" applyAlignment="1">
      <alignment horizontal="center" vertical="center"/>
    </xf>
    <xf numFmtId="14" fontId="2" fillId="0" borderId="0" xfId="0" applyNumberFormat="1" applyFont="1" applyAlignment="1">
      <alignment horizontal="center" vertical="center"/>
    </xf>
    <xf numFmtId="0" fontId="11" fillId="0" borderId="0" xfId="0" applyFont="1" applyAlignment="1">
      <alignment horizontal="center" vertical="center"/>
    </xf>
    <xf numFmtId="0" fontId="13" fillId="0" borderId="0" xfId="0" applyFont="1" applyAlignment="1">
      <alignment horizontal="center" vertical="center"/>
    </xf>
    <xf numFmtId="166" fontId="13" fillId="0" borderId="0" xfId="1" applyNumberFormat="1" applyFont="1" applyAlignment="1">
      <alignment horizontal="center" vertical="center"/>
    </xf>
    <xf numFmtId="165" fontId="2" fillId="0" borderId="0" xfId="1" applyFont="1" applyAlignment="1">
      <alignment horizontal="center" vertical="center"/>
    </xf>
    <xf numFmtId="166" fontId="11" fillId="0" borderId="0" xfId="1" applyNumberFormat="1" applyFont="1" applyAlignment="1">
      <alignment horizontal="center" vertical="center"/>
    </xf>
    <xf numFmtId="0" fontId="14" fillId="0" borderId="0" xfId="0" applyFont="1" applyAlignment="1">
      <alignment horizontal="center" vertical="center"/>
    </xf>
    <xf numFmtId="166" fontId="14" fillId="0" borderId="0" xfId="1" applyNumberFormat="1" applyFont="1" applyAlignment="1">
      <alignment horizontal="center" vertical="center"/>
    </xf>
    <xf numFmtId="0" fontId="15" fillId="0" borderId="0" xfId="0" applyFont="1" applyAlignment="1">
      <alignment horizontal="center" vertical="center"/>
    </xf>
    <xf numFmtId="166" fontId="15" fillId="0" borderId="0" xfId="1" applyNumberFormat="1" applyFont="1" applyAlignment="1">
      <alignment horizontal="center" vertical="center"/>
    </xf>
    <xf numFmtId="0" fontId="16" fillId="0" borderId="0" xfId="0" applyFont="1" applyAlignment="1">
      <alignment horizontal="center" vertical="center"/>
    </xf>
    <xf numFmtId="166" fontId="16" fillId="0" borderId="0" xfId="1" applyNumberFormat="1"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166" fontId="18" fillId="0" borderId="0" xfId="1" applyNumberFormat="1" applyFont="1" applyAlignment="1">
      <alignment horizontal="center" vertical="center"/>
    </xf>
    <xf numFmtId="0" fontId="19" fillId="0" borderId="0" xfId="0" applyFont="1" applyAlignment="1">
      <alignment horizontal="center" vertical="center"/>
    </xf>
    <xf numFmtId="166" fontId="19" fillId="0" borderId="0" xfId="1" applyNumberFormat="1" applyFont="1" applyAlignment="1">
      <alignment horizontal="center" vertical="center"/>
    </xf>
    <xf numFmtId="166" fontId="20" fillId="0" borderId="0" xfId="1" applyNumberFormat="1" applyFont="1" applyAlignment="1">
      <alignment horizontal="center" vertical="center"/>
    </xf>
    <xf numFmtId="0" fontId="3" fillId="3" borderId="0" xfId="0" applyFont="1" applyFill="1" applyAlignment="1">
      <alignment horizontal="center" vertical="center"/>
    </xf>
    <xf numFmtId="14" fontId="2" fillId="3" borderId="0" xfId="0" applyNumberFormat="1" applyFont="1" applyFill="1" applyAlignment="1">
      <alignment horizontal="center" vertical="center"/>
    </xf>
    <xf numFmtId="0" fontId="2" fillId="3" borderId="0" xfId="0" applyFont="1" applyFill="1" applyAlignment="1">
      <alignment horizontal="center" vertical="center"/>
    </xf>
    <xf numFmtId="166" fontId="2" fillId="3" borderId="0" xfId="1" applyNumberFormat="1" applyFont="1" applyFill="1" applyAlignment="1">
      <alignment horizontal="center" vertical="center"/>
    </xf>
    <xf numFmtId="14" fontId="2" fillId="4" borderId="0" xfId="0" applyNumberFormat="1" applyFont="1" applyFill="1" applyAlignment="1">
      <alignment horizontal="center" vertical="center"/>
    </xf>
    <xf numFmtId="0" fontId="2" fillId="4" borderId="0" xfId="0" applyFont="1" applyFill="1" applyAlignment="1">
      <alignment horizontal="center" vertical="center"/>
    </xf>
    <xf numFmtId="166" fontId="2" fillId="4" borderId="0" xfId="1" applyNumberFormat="1" applyFont="1" applyFill="1" applyAlignment="1">
      <alignment horizontal="center" vertical="center"/>
    </xf>
    <xf numFmtId="14" fontId="2" fillId="2" borderId="0" xfId="0" applyNumberFormat="1" applyFont="1" applyFill="1" applyAlignment="1">
      <alignment horizontal="center" vertical="center"/>
    </xf>
    <xf numFmtId="0" fontId="3" fillId="2" borderId="0" xfId="0" applyFont="1" applyFill="1" applyAlignment="1">
      <alignment horizontal="center" vertical="center"/>
    </xf>
    <xf numFmtId="0" fontId="2" fillId="2" borderId="0" xfId="0" applyFont="1" applyFill="1" applyAlignment="1">
      <alignment horizontal="center" vertical="center"/>
    </xf>
    <xf numFmtId="166" fontId="2" fillId="2" borderId="0" xfId="1" applyNumberFormat="1" applyFont="1" applyFill="1" applyAlignment="1">
      <alignment horizontal="center" vertical="center"/>
    </xf>
    <xf numFmtId="0" fontId="3" fillId="5" borderId="0" xfId="0" applyFont="1" applyFill="1" applyAlignment="1">
      <alignment horizontal="center" vertical="center"/>
    </xf>
    <xf numFmtId="14" fontId="2" fillId="5" borderId="0" xfId="0" applyNumberFormat="1" applyFont="1" applyFill="1" applyAlignment="1">
      <alignment horizontal="center" vertical="center"/>
    </xf>
    <xf numFmtId="0" fontId="2" fillId="5" borderId="0" xfId="0" applyFont="1" applyFill="1" applyAlignment="1">
      <alignment horizontal="center" vertical="center"/>
    </xf>
    <xf numFmtId="166" fontId="2" fillId="5" borderId="0" xfId="1" applyNumberFormat="1" applyFont="1" applyFill="1" applyAlignment="1">
      <alignment horizontal="center" vertical="center"/>
    </xf>
    <xf numFmtId="166" fontId="21" fillId="0" borderId="0" xfId="1" applyNumberFormat="1" applyFont="1" applyAlignment="1">
      <alignment horizontal="center" vertical="center"/>
    </xf>
    <xf numFmtId="0" fontId="21" fillId="0" borderId="0" xfId="0" applyFont="1" applyAlignment="1">
      <alignment horizontal="center" vertical="center"/>
    </xf>
    <xf numFmtId="166" fontId="22" fillId="0" borderId="0" xfId="1" applyNumberFormat="1" applyFont="1" applyAlignment="1">
      <alignment horizontal="center" vertical="center"/>
    </xf>
    <xf numFmtId="0" fontId="22" fillId="0" borderId="0" xfId="0" applyFont="1" applyAlignment="1">
      <alignment horizontal="center" vertical="center"/>
    </xf>
    <xf numFmtId="0" fontId="23" fillId="0" borderId="0" xfId="0" applyFont="1" applyAlignment="1">
      <alignment horizontal="center" vertical="center"/>
    </xf>
    <xf numFmtId="166" fontId="23" fillId="0" borderId="0" xfId="1" applyNumberFormat="1" applyFont="1" applyAlignment="1">
      <alignment horizontal="center" vertical="center"/>
    </xf>
    <xf numFmtId="0" fontId="24" fillId="0" borderId="0" xfId="0" applyFont="1" applyAlignment="1">
      <alignment horizontal="center" vertical="center"/>
    </xf>
    <xf numFmtId="166" fontId="24" fillId="0" borderId="0" xfId="1" applyNumberFormat="1" applyFont="1" applyAlignment="1">
      <alignment horizontal="center" vertical="center"/>
    </xf>
    <xf numFmtId="0" fontId="25" fillId="0" borderId="0" xfId="0" applyFont="1" applyAlignment="1">
      <alignment horizontal="center" vertical="center"/>
    </xf>
    <xf numFmtId="166" fontId="25" fillId="0" borderId="0" xfId="1" applyNumberFormat="1" applyFont="1" applyAlignment="1">
      <alignment horizontal="center" vertical="center"/>
    </xf>
    <xf numFmtId="0" fontId="26" fillId="0" borderId="0" xfId="0" applyFont="1" applyAlignment="1">
      <alignment horizontal="center" vertical="center"/>
    </xf>
    <xf numFmtId="166" fontId="26" fillId="0" borderId="0" xfId="1" applyNumberFormat="1" applyFont="1" applyAlignment="1">
      <alignment horizontal="center" vertical="center"/>
    </xf>
    <xf numFmtId="166" fontId="28" fillId="0" borderId="0" xfId="1" applyNumberFormat="1" applyFont="1" applyAlignment="1">
      <alignment horizontal="center" vertical="center"/>
    </xf>
    <xf numFmtId="166" fontId="29" fillId="0" borderId="0" xfId="1" applyNumberFormat="1" applyFont="1" applyAlignment="1">
      <alignment horizontal="center" vertical="center"/>
    </xf>
    <xf numFmtId="166" fontId="30" fillId="0" borderId="0" xfId="1" applyNumberFormat="1" applyFont="1" applyAlignment="1">
      <alignment horizontal="center" vertical="center"/>
    </xf>
    <xf numFmtId="166" fontId="29" fillId="6" borderId="0" xfId="1" applyNumberFormat="1" applyFont="1" applyFill="1" applyAlignment="1">
      <alignment horizontal="center" vertical="center"/>
    </xf>
    <xf numFmtId="166" fontId="31" fillId="0" borderId="0" xfId="1" applyNumberFormat="1" applyFont="1" applyAlignment="1">
      <alignment horizontal="center" vertical="center"/>
    </xf>
    <xf numFmtId="3" fontId="3" fillId="0" borderId="0" xfId="1" applyNumberFormat="1" applyFont="1" applyAlignment="1">
      <alignment horizontal="center" vertical="center"/>
    </xf>
    <xf numFmtId="0" fontId="31" fillId="0" borderId="0" xfId="0" applyFont="1" applyAlignment="1">
      <alignment horizontal="center" vertical="center"/>
    </xf>
    <xf numFmtId="3" fontId="2" fillId="0" borderId="0" xfId="1" applyNumberFormat="1" applyFont="1" applyAlignment="1">
      <alignment horizontal="center" vertical="center"/>
    </xf>
    <xf numFmtId="0" fontId="2" fillId="0" borderId="0" xfId="0" applyFont="1" applyAlignment="1">
      <alignment horizontal="right" vertical="center" wrapText="1"/>
    </xf>
    <xf numFmtId="166" fontId="32" fillId="0" borderId="0" xfId="1" applyNumberFormat="1" applyFont="1" applyAlignment="1">
      <alignment horizontal="center" vertical="center"/>
    </xf>
    <xf numFmtId="3" fontId="11" fillId="0" borderId="0" xfId="1" applyNumberFormat="1" applyFont="1" applyAlignment="1">
      <alignment horizontal="center" vertical="center"/>
    </xf>
    <xf numFmtId="3" fontId="2" fillId="3" borderId="0" xfId="1" applyNumberFormat="1" applyFont="1" applyFill="1" applyAlignment="1">
      <alignment horizontal="center" vertical="center"/>
    </xf>
    <xf numFmtId="3" fontId="2" fillId="0" borderId="0" xfId="0" applyNumberFormat="1" applyFont="1" applyAlignment="1">
      <alignment horizontal="center" vertical="center" wrapText="1"/>
    </xf>
    <xf numFmtId="3" fontId="2" fillId="0" borderId="0" xfId="1" applyNumberFormat="1" applyFont="1" applyAlignment="1">
      <alignment horizontal="center" vertical="center" wrapText="1"/>
    </xf>
    <xf numFmtId="3" fontId="2" fillId="0" borderId="0" xfId="0" applyNumberFormat="1" applyFont="1" applyAlignment="1">
      <alignment horizontal="center" vertical="center"/>
    </xf>
    <xf numFmtId="3" fontId="2" fillId="5" borderId="0" xfId="1" applyNumberFormat="1" applyFont="1" applyFill="1" applyAlignment="1">
      <alignment horizontal="center" vertical="center"/>
    </xf>
    <xf numFmtId="3" fontId="2" fillId="3" borderId="0" xfId="0" applyNumberFormat="1" applyFont="1" applyFill="1" applyAlignment="1">
      <alignment horizontal="center" vertical="center"/>
    </xf>
    <xf numFmtId="3" fontId="25" fillId="0" borderId="0" xfId="1" applyNumberFormat="1" applyFont="1" applyAlignment="1">
      <alignment horizontal="center" vertical="center"/>
    </xf>
    <xf numFmtId="165" fontId="2" fillId="0" borderId="0" xfId="0" applyNumberFormat="1" applyFont="1" applyAlignment="1">
      <alignment horizontal="center" vertical="center" wrapText="1"/>
    </xf>
    <xf numFmtId="166" fontId="33" fillId="0" borderId="0" xfId="1" applyNumberFormat="1" applyFont="1" applyAlignment="1">
      <alignment horizontal="center" vertical="center"/>
    </xf>
    <xf numFmtId="14" fontId="2" fillId="0" borderId="0" xfId="0" applyNumberFormat="1" applyFont="1" applyAlignment="1">
      <alignment horizontal="right" vertical="center"/>
    </xf>
    <xf numFmtId="14" fontId="33" fillId="0" borderId="0" xfId="0" applyNumberFormat="1" applyFont="1" applyAlignment="1">
      <alignment horizontal="center" vertical="center"/>
    </xf>
    <xf numFmtId="3" fontId="33" fillId="0" borderId="0" xfId="1" applyNumberFormat="1" applyFont="1" applyAlignment="1">
      <alignment horizontal="center" vertical="center"/>
    </xf>
    <xf numFmtId="3" fontId="34" fillId="0" borderId="0" xfId="1" applyNumberFormat="1" applyFont="1" applyAlignment="1">
      <alignment horizontal="center" vertical="center"/>
    </xf>
    <xf numFmtId="166" fontId="34" fillId="0" borderId="0" xfId="1" applyNumberFormat="1" applyFont="1" applyAlignment="1">
      <alignment horizontal="center" vertical="center"/>
    </xf>
    <xf numFmtId="0" fontId="2" fillId="7" borderId="12" xfId="0" applyFont="1" applyFill="1" applyBorder="1" applyAlignment="1">
      <alignment horizontal="right" vertical="center" wrapText="1"/>
    </xf>
    <xf numFmtId="3" fontId="2" fillId="0" borderId="0" xfId="1" applyNumberFormat="1" applyFont="1" applyAlignment="1">
      <alignment horizontal="right" vertical="center" wrapText="1"/>
    </xf>
    <xf numFmtId="14" fontId="34" fillId="0" borderId="0" xfId="0" applyNumberFormat="1" applyFont="1" applyAlignment="1">
      <alignment horizontal="center" vertical="center"/>
    </xf>
    <xf numFmtId="3" fontId="37" fillId="0" borderId="0" xfId="1" applyNumberFormat="1" applyFont="1" applyAlignment="1">
      <alignment horizontal="center" vertical="center"/>
    </xf>
    <xf numFmtId="166" fontId="37" fillId="0" borderId="0" xfId="1" applyNumberFormat="1" applyFont="1" applyAlignment="1">
      <alignment horizontal="center" vertical="center"/>
    </xf>
    <xf numFmtId="14" fontId="38" fillId="0" borderId="0" xfId="0" applyNumberFormat="1" applyFont="1" applyAlignment="1">
      <alignment horizontal="center" vertical="center"/>
    </xf>
    <xf numFmtId="3" fontId="38" fillId="0" borderId="0" xfId="1" applyNumberFormat="1" applyFont="1" applyAlignment="1">
      <alignment horizontal="center" vertical="center"/>
    </xf>
    <xf numFmtId="166" fontId="38" fillId="0" borderId="0" xfId="1" applyNumberFormat="1" applyFont="1" applyAlignment="1">
      <alignment horizontal="center" vertical="center"/>
    </xf>
    <xf numFmtId="0" fontId="5" fillId="0" borderId="0" xfId="0" applyFont="1" applyAlignment="1">
      <alignment horizontal="center" vertical="center"/>
    </xf>
    <xf numFmtId="14" fontId="39" fillId="0" borderId="0" xfId="0" applyNumberFormat="1" applyFont="1" applyAlignment="1">
      <alignment horizontal="center" vertical="center"/>
    </xf>
    <xf numFmtId="3" fontId="39" fillId="0" borderId="0" xfId="1" applyNumberFormat="1" applyFont="1" applyAlignment="1">
      <alignment horizontal="center" vertical="center"/>
    </xf>
    <xf numFmtId="166" fontId="39" fillId="0" borderId="0" xfId="1" applyNumberFormat="1" applyFont="1" applyAlignment="1">
      <alignment horizontal="center" vertical="center"/>
    </xf>
    <xf numFmtId="3" fontId="41" fillId="0" borderId="0" xfId="1" applyNumberFormat="1" applyFont="1" applyAlignment="1">
      <alignment horizontal="center" vertical="center"/>
    </xf>
    <xf numFmtId="166" fontId="41" fillId="0" borderId="0" xfId="1" applyNumberFormat="1" applyFont="1" applyAlignment="1">
      <alignment horizontal="center" vertical="center"/>
    </xf>
    <xf numFmtId="0" fontId="8" fillId="0" borderId="4"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8" fillId="0" borderId="6" xfId="0" applyFont="1" applyBorder="1" applyAlignment="1">
      <alignment horizontal="center" vertical="center"/>
    </xf>
    <xf numFmtId="0" fontId="5" fillId="0" borderId="7" xfId="0" applyFont="1" applyBorder="1" applyAlignment="1">
      <alignment horizontal="center" vertical="center"/>
    </xf>
    <xf numFmtId="0" fontId="8" fillId="0" borderId="7" xfId="0" applyFont="1" applyBorder="1" applyAlignment="1">
      <alignment horizontal="center" vertical="center"/>
    </xf>
    <xf numFmtId="166" fontId="12" fillId="0" borderId="0" xfId="1" applyNumberFormat="1" applyFont="1" applyBorder="1" applyAlignment="1">
      <alignment vertical="center"/>
    </xf>
    <xf numFmtId="0" fontId="2" fillId="2" borderId="6" xfId="0" applyFont="1" applyFill="1" applyBorder="1"/>
    <xf numFmtId="0" fontId="2" fillId="2" borderId="7" xfId="0" applyFont="1" applyFill="1" applyBorder="1"/>
    <xf numFmtId="0" fontId="2" fillId="2" borderId="8" xfId="0" applyFont="1" applyFill="1" applyBorder="1"/>
    <xf numFmtId="0" fontId="8" fillId="2" borderId="10" xfId="0" applyFont="1" applyFill="1" applyBorder="1" applyAlignment="1">
      <alignment horizontal="center" vertical="center"/>
    </xf>
    <xf numFmtId="0" fontId="8" fillId="2" borderId="9" xfId="0" applyFont="1" applyFill="1" applyBorder="1" applyAlignment="1">
      <alignment horizontal="center" vertical="center"/>
    </xf>
    <xf numFmtId="167" fontId="42" fillId="0" borderId="13" xfId="0" applyNumberFormat="1" applyFont="1" applyBorder="1" applyAlignment="1">
      <alignment horizontal="center" vertical="center" wrapText="1"/>
    </xf>
    <xf numFmtId="3" fontId="43" fillId="0" borderId="0" xfId="1" applyNumberFormat="1" applyFont="1" applyAlignment="1">
      <alignment horizontal="center" vertical="center"/>
    </xf>
    <xf numFmtId="166" fontId="43" fillId="0" borderId="0" xfId="1" applyNumberFormat="1" applyFont="1" applyAlignment="1">
      <alignment horizontal="center" vertical="center"/>
    </xf>
    <xf numFmtId="4" fontId="5" fillId="0" borderId="0" xfId="0" applyNumberFormat="1" applyFont="1"/>
    <xf numFmtId="4" fontId="5" fillId="0" borderId="0" xfId="0" applyNumberFormat="1" applyFont="1" applyAlignment="1">
      <alignment horizontal="center" vertical="center"/>
    </xf>
    <xf numFmtId="3" fontId="44" fillId="0" borderId="0" xfId="1" applyNumberFormat="1" applyFont="1" applyAlignment="1">
      <alignment horizontal="center" vertical="center"/>
    </xf>
    <xf numFmtId="166" fontId="44" fillId="0" borderId="0" xfId="1" applyNumberFormat="1" applyFont="1" applyAlignment="1">
      <alignment horizontal="center" vertical="center"/>
    </xf>
    <xf numFmtId="0" fontId="45" fillId="0" borderId="0" xfId="0" applyFont="1" applyAlignment="1">
      <alignment horizontal="center" vertical="center"/>
    </xf>
    <xf numFmtId="3" fontId="46" fillId="0" borderId="0" xfId="1" applyNumberFormat="1" applyFont="1" applyAlignment="1">
      <alignment horizontal="center" vertical="center"/>
    </xf>
    <xf numFmtId="166" fontId="46" fillId="0" borderId="0" xfId="1" applyNumberFormat="1" applyFont="1" applyAlignment="1">
      <alignment horizontal="center" vertical="center"/>
    </xf>
    <xf numFmtId="0" fontId="47" fillId="0" borderId="0" xfId="0" applyFont="1"/>
    <xf numFmtId="0" fontId="48" fillId="0" borderId="0" xfId="0" applyFont="1" applyAlignment="1">
      <alignment horizontal="center" vertical="center"/>
    </xf>
    <xf numFmtId="3" fontId="49" fillId="0" borderId="0" xfId="1" applyNumberFormat="1" applyFont="1" applyAlignment="1">
      <alignment horizontal="center" vertical="center"/>
    </xf>
    <xf numFmtId="166" fontId="49" fillId="0" borderId="0" xfId="1" applyNumberFormat="1" applyFont="1" applyAlignment="1">
      <alignment horizontal="center" vertical="center"/>
    </xf>
    <xf numFmtId="3" fontId="0" fillId="0" borderId="0" xfId="0" applyNumberFormat="1"/>
    <xf numFmtId="0" fontId="50" fillId="0" borderId="4" xfId="0" applyFont="1" applyBorder="1" applyAlignment="1">
      <alignment horizontal="center" vertical="center"/>
    </xf>
    <xf numFmtId="0" fontId="12" fillId="0" borderId="0" xfId="0" applyFont="1" applyAlignment="1">
      <alignment horizontal="center" vertical="center"/>
    </xf>
    <xf numFmtId="1" fontId="53" fillId="2" borderId="9" xfId="0" applyNumberFormat="1" applyFont="1" applyFill="1" applyBorder="1" applyAlignment="1">
      <alignment horizontal="center" vertical="center"/>
    </xf>
    <xf numFmtId="14" fontId="53" fillId="2" borderId="9" xfId="0" applyNumberFormat="1" applyFont="1" applyFill="1" applyBorder="1" applyAlignment="1">
      <alignment horizontal="center" vertical="center"/>
    </xf>
    <xf numFmtId="0" fontId="54" fillId="0" borderId="4" xfId="0" applyFont="1" applyBorder="1" applyAlignment="1">
      <alignment horizontal="center" vertical="center"/>
    </xf>
    <xf numFmtId="0" fontId="52" fillId="0" borderId="0" xfId="0" applyFont="1" applyAlignment="1">
      <alignment horizontal="center" vertical="center"/>
    </xf>
    <xf numFmtId="0" fontId="4" fillId="0" borderId="0" xfId="0" applyFont="1" applyAlignment="1">
      <alignment horizontal="center" vertical="center"/>
    </xf>
    <xf numFmtId="3" fontId="2" fillId="4" borderId="0" xfId="1" applyNumberFormat="1" applyFont="1" applyFill="1" applyAlignment="1">
      <alignment horizontal="center" vertical="center"/>
    </xf>
    <xf numFmtId="3" fontId="2" fillId="2" borderId="0" xfId="1" applyNumberFormat="1" applyFont="1" applyFill="1" applyAlignment="1">
      <alignment horizontal="center" vertical="center"/>
    </xf>
    <xf numFmtId="0" fontId="20" fillId="0" borderId="0" xfId="0" applyFont="1" applyAlignment="1">
      <alignment horizontal="center" vertical="center"/>
    </xf>
    <xf numFmtId="0" fontId="2" fillId="3" borderId="0" xfId="0" applyFont="1" applyFill="1" applyAlignment="1">
      <alignment horizontal="right" vertical="center" wrapText="1"/>
    </xf>
    <xf numFmtId="17" fontId="2" fillId="0" borderId="0" xfId="0" applyNumberFormat="1" applyFont="1" applyAlignment="1">
      <alignment horizontal="right" vertical="center" wrapText="1"/>
    </xf>
    <xf numFmtId="0" fontId="2" fillId="4" borderId="0" xfId="0" applyFont="1" applyFill="1" applyAlignment="1">
      <alignment horizontal="right" vertical="center" wrapText="1"/>
    </xf>
    <xf numFmtId="0" fontId="2" fillId="2" borderId="0" xfId="0" applyFont="1" applyFill="1" applyAlignment="1">
      <alignment horizontal="right" vertical="center" wrapText="1"/>
    </xf>
    <xf numFmtId="0" fontId="2" fillId="5" borderId="0" xfId="0" applyFont="1" applyFill="1" applyAlignment="1">
      <alignment horizontal="right" vertical="center" wrapText="1"/>
    </xf>
    <xf numFmtId="166" fontId="2" fillId="0" borderId="0" xfId="1" applyNumberFormat="1" applyFont="1" applyAlignment="1">
      <alignment horizontal="right" vertical="center" wrapText="1"/>
    </xf>
    <xf numFmtId="165" fontId="2" fillId="0" borderId="0" xfId="0" applyNumberFormat="1" applyFont="1" applyAlignment="1">
      <alignment horizontal="right" vertical="center" wrapText="1"/>
    </xf>
    <xf numFmtId="14" fontId="2" fillId="0" borderId="0" xfId="0" applyNumberFormat="1" applyFont="1" applyAlignment="1">
      <alignment horizontal="right" vertical="center" wrapText="1"/>
    </xf>
    <xf numFmtId="3" fontId="40" fillId="0" borderId="0" xfId="0" applyNumberFormat="1" applyFont="1" applyAlignment="1">
      <alignment horizontal="right" vertical="center" wrapText="1"/>
    </xf>
    <xf numFmtId="3" fontId="2" fillId="0" borderId="0" xfId="0" applyNumberFormat="1" applyFont="1" applyAlignment="1">
      <alignment horizontal="right" vertical="center" wrapText="1"/>
    </xf>
    <xf numFmtId="0" fontId="3" fillId="6" borderId="0" xfId="0" applyFont="1" applyFill="1" applyAlignment="1">
      <alignment horizontal="center" vertical="center"/>
    </xf>
    <xf numFmtId="0" fontId="56" fillId="0" borderId="0" xfId="0" applyFont="1" applyAlignment="1">
      <alignment horizontal="center" vertical="center"/>
    </xf>
    <xf numFmtId="14" fontId="57" fillId="0" borderId="0" xfId="0" applyNumberFormat="1" applyFont="1" applyAlignment="1">
      <alignment horizontal="center" vertical="center"/>
    </xf>
    <xf numFmtId="3" fontId="57" fillId="0" borderId="0" xfId="1" applyNumberFormat="1" applyFont="1" applyAlignment="1">
      <alignment horizontal="center" vertical="center"/>
    </xf>
    <xf numFmtId="166" fontId="57" fillId="0" borderId="0" xfId="1" applyNumberFormat="1" applyFont="1" applyAlignment="1">
      <alignment horizontal="center" vertical="center"/>
    </xf>
    <xf numFmtId="3" fontId="58" fillId="0" borderId="0" xfId="1" applyNumberFormat="1" applyFont="1" applyAlignment="1">
      <alignment horizontal="center" vertical="center"/>
    </xf>
    <xf numFmtId="166" fontId="58" fillId="0" borderId="0" xfId="1" applyNumberFormat="1" applyFont="1" applyAlignment="1">
      <alignment horizontal="center" vertical="center"/>
    </xf>
    <xf numFmtId="166" fontId="2" fillId="0" borderId="0" xfId="0" applyNumberFormat="1" applyFont="1" applyAlignment="1">
      <alignment horizontal="center" vertical="center"/>
    </xf>
    <xf numFmtId="3" fontId="59" fillId="0" borderId="0" xfId="1" applyNumberFormat="1" applyFont="1" applyAlignment="1">
      <alignment horizontal="center" vertical="center"/>
    </xf>
    <xf numFmtId="166" fontId="59" fillId="0" borderId="0" xfId="1" applyNumberFormat="1" applyFont="1" applyAlignment="1">
      <alignment horizontal="center" vertical="center"/>
    </xf>
    <xf numFmtId="3" fontId="61" fillId="0" borderId="0" xfId="1" applyNumberFormat="1" applyFont="1" applyAlignment="1">
      <alignment horizontal="center" vertical="center"/>
    </xf>
    <xf numFmtId="166" fontId="61" fillId="0" borderId="0" xfId="1" applyNumberFormat="1" applyFont="1" applyAlignment="1">
      <alignment horizontal="center" vertical="center"/>
    </xf>
    <xf numFmtId="3" fontId="62" fillId="0" borderId="0" xfId="1" applyNumberFormat="1" applyFont="1" applyAlignment="1">
      <alignment horizontal="center" vertical="center"/>
    </xf>
    <xf numFmtId="166" fontId="62" fillId="0" borderId="0" xfId="1" applyNumberFormat="1" applyFont="1" applyAlignment="1">
      <alignment horizontal="center" vertical="center"/>
    </xf>
    <xf numFmtId="0" fontId="63" fillId="0" borderId="0" xfId="0" applyFont="1" applyAlignment="1">
      <alignment horizontal="center" vertical="center"/>
    </xf>
    <xf numFmtId="3" fontId="64" fillId="0" borderId="0" xfId="1" applyNumberFormat="1" applyFont="1" applyAlignment="1">
      <alignment horizontal="center" vertical="center"/>
    </xf>
    <xf numFmtId="166" fontId="64" fillId="0" borderId="0" xfId="1" applyNumberFormat="1" applyFont="1" applyAlignment="1">
      <alignment horizontal="center" vertical="center"/>
    </xf>
    <xf numFmtId="0" fontId="65" fillId="0" borderId="0" xfId="0" applyFont="1" applyAlignment="1">
      <alignment horizontal="center" vertical="center"/>
    </xf>
    <xf numFmtId="3" fontId="66" fillId="0" borderId="0" xfId="1" applyNumberFormat="1" applyFont="1" applyAlignment="1">
      <alignment horizontal="center" vertical="center"/>
    </xf>
    <xf numFmtId="166" fontId="66" fillId="0" borderId="0" xfId="1" applyNumberFormat="1" applyFont="1" applyAlignment="1">
      <alignment horizontal="center" vertical="center"/>
    </xf>
    <xf numFmtId="0" fontId="67" fillId="0" borderId="0" xfId="0" applyFont="1" applyAlignment="1">
      <alignment horizontal="center" vertical="center"/>
    </xf>
    <xf numFmtId="3" fontId="68" fillId="0" borderId="0" xfId="1" applyNumberFormat="1" applyFont="1" applyAlignment="1">
      <alignment horizontal="center" vertical="center"/>
    </xf>
    <xf numFmtId="166" fontId="68" fillId="0" borderId="0" xfId="1" applyNumberFormat="1" applyFont="1" applyAlignment="1">
      <alignment horizontal="center" vertical="center"/>
    </xf>
    <xf numFmtId="0" fontId="2" fillId="0" borderId="0" xfId="0" applyFont="1" applyAlignment="1">
      <alignment horizontal="center" vertical="center" wrapText="1"/>
    </xf>
    <xf numFmtId="0" fontId="69" fillId="0" borderId="0" xfId="0" applyFont="1" applyAlignment="1">
      <alignment horizontal="center" vertical="center"/>
    </xf>
    <xf numFmtId="3" fontId="70" fillId="0" borderId="0" xfId="1" applyNumberFormat="1" applyFont="1" applyAlignment="1">
      <alignment horizontal="center" vertical="center"/>
    </xf>
    <xf numFmtId="166" fontId="70" fillId="0" borderId="0" xfId="1" applyNumberFormat="1" applyFont="1" applyAlignment="1">
      <alignment horizontal="center" vertical="center"/>
    </xf>
    <xf numFmtId="0" fontId="71" fillId="0" borderId="0" xfId="0" applyFont="1" applyAlignment="1">
      <alignment horizontal="center" vertical="center"/>
    </xf>
    <xf numFmtId="14" fontId="72" fillId="0" borderId="0" xfId="0" applyNumberFormat="1" applyFont="1" applyAlignment="1">
      <alignment horizontal="center" vertical="center"/>
    </xf>
    <xf numFmtId="3" fontId="72" fillId="0" borderId="0" xfId="1" applyNumberFormat="1" applyFont="1" applyAlignment="1">
      <alignment horizontal="center" vertical="center"/>
    </xf>
    <xf numFmtId="166" fontId="72" fillId="0" borderId="0" xfId="1" applyNumberFormat="1" applyFont="1" applyAlignment="1">
      <alignment horizontal="center" vertical="center"/>
    </xf>
    <xf numFmtId="0" fontId="73" fillId="0" borderId="0" xfId="0" applyFont="1" applyAlignment="1">
      <alignment horizontal="center" vertical="center"/>
    </xf>
    <xf numFmtId="3" fontId="74" fillId="0" borderId="0" xfId="1" applyNumberFormat="1" applyFont="1" applyAlignment="1">
      <alignment horizontal="center" vertical="center"/>
    </xf>
    <xf numFmtId="166" fontId="74" fillId="0" borderId="0" xfId="1" applyNumberFormat="1" applyFont="1" applyAlignment="1">
      <alignment horizontal="center" vertical="center"/>
    </xf>
    <xf numFmtId="14" fontId="3" fillId="0" borderId="0" xfId="0" applyNumberFormat="1" applyFont="1" applyAlignment="1">
      <alignment horizontal="center" vertical="center"/>
    </xf>
    <xf numFmtId="14" fontId="75" fillId="0" borderId="0" xfId="0" applyNumberFormat="1" applyFont="1" applyAlignment="1">
      <alignment horizontal="center" vertical="center"/>
    </xf>
    <xf numFmtId="0" fontId="75" fillId="0" borderId="0" xfId="0" applyFont="1" applyAlignment="1">
      <alignment horizontal="center" vertical="center"/>
    </xf>
    <xf numFmtId="0" fontId="76" fillId="0" borderId="0" xfId="0" applyFont="1" applyAlignment="1">
      <alignment horizontal="center" vertical="center"/>
    </xf>
    <xf numFmtId="0" fontId="76" fillId="0" borderId="0" xfId="0" applyFont="1" applyAlignment="1">
      <alignment horizontal="right" vertical="center" wrapText="1"/>
    </xf>
    <xf numFmtId="166" fontId="2" fillId="0" borderId="0" xfId="1" applyNumberFormat="1" applyFont="1" applyAlignment="1">
      <alignment vertical="center"/>
    </xf>
    <xf numFmtId="0" fontId="8" fillId="0" borderId="1" xfId="0" applyFont="1" applyBorder="1" applyAlignment="1">
      <alignment horizontal="right"/>
    </xf>
    <xf numFmtId="0" fontId="77" fillId="0" borderId="0" xfId="0" applyFont="1" applyAlignment="1">
      <alignment horizontal="center" vertical="center"/>
    </xf>
    <xf numFmtId="3" fontId="78" fillId="0" borderId="0" xfId="1" applyNumberFormat="1" applyFont="1" applyAlignment="1">
      <alignment horizontal="center" vertical="center"/>
    </xf>
    <xf numFmtId="166" fontId="36" fillId="0" borderId="0" xfId="1" applyNumberFormat="1" applyFont="1" applyAlignment="1">
      <alignment horizontal="center" vertical="center"/>
    </xf>
    <xf numFmtId="166" fontId="79" fillId="0" borderId="0" xfId="1" applyNumberFormat="1" applyFont="1" applyAlignment="1">
      <alignment horizontal="center" vertical="center"/>
    </xf>
    <xf numFmtId="0" fontId="36" fillId="0" borderId="0" xfId="0" applyFont="1" applyAlignment="1">
      <alignment horizontal="right" vertical="center" wrapText="1"/>
    </xf>
    <xf numFmtId="3" fontId="36" fillId="0" borderId="0" xfId="1" applyNumberFormat="1" applyFont="1" applyAlignment="1">
      <alignment horizontal="center" vertical="center"/>
    </xf>
    <xf numFmtId="14" fontId="3" fillId="6" borderId="0" xfId="0" applyNumberFormat="1" applyFont="1" applyFill="1" applyAlignment="1">
      <alignment horizontal="center" vertical="center"/>
    </xf>
    <xf numFmtId="0" fontId="2" fillId="6" borderId="0" xfId="0" applyFont="1" applyFill="1" applyAlignment="1">
      <alignment horizontal="center" vertical="center"/>
    </xf>
    <xf numFmtId="0" fontId="2" fillId="6" borderId="0" xfId="0" applyFont="1" applyFill="1" applyAlignment="1">
      <alignment horizontal="right" vertical="center" wrapText="1"/>
    </xf>
    <xf numFmtId="3" fontId="2" fillId="6" borderId="0" xfId="1" applyNumberFormat="1" applyFont="1" applyFill="1" applyAlignment="1">
      <alignment horizontal="center" vertical="center"/>
    </xf>
    <xf numFmtId="166" fontId="2" fillId="6" borderId="0" xfId="1" applyNumberFormat="1" applyFont="1" applyFill="1" applyAlignment="1">
      <alignment horizontal="center" vertical="center"/>
    </xf>
    <xf numFmtId="0" fontId="80" fillId="0" borderId="0" xfId="0" applyFont="1" applyAlignment="1">
      <alignment horizontal="center" vertical="center"/>
    </xf>
    <xf numFmtId="14" fontId="80" fillId="0" borderId="0" xfId="0" applyNumberFormat="1" applyFont="1" applyAlignment="1">
      <alignment horizontal="center" vertical="center"/>
    </xf>
    <xf numFmtId="0" fontId="81" fillId="0" borderId="0" xfId="0" applyFont="1" applyAlignment="1">
      <alignment horizontal="center" vertical="center"/>
    </xf>
    <xf numFmtId="0" fontId="81" fillId="0" borderId="0" xfId="0" applyFont="1" applyAlignment="1">
      <alignment horizontal="right" vertical="center" wrapText="1"/>
    </xf>
    <xf numFmtId="166" fontId="81" fillId="0" borderId="0" xfId="1" applyNumberFormat="1" applyFont="1" applyAlignment="1">
      <alignment vertical="center"/>
    </xf>
    <xf numFmtId="166" fontId="81" fillId="0" borderId="0" xfId="1" applyNumberFormat="1" applyFont="1" applyAlignment="1">
      <alignment horizontal="center" vertical="center"/>
    </xf>
    <xf numFmtId="0" fontId="82" fillId="0" borderId="0" xfId="0" applyFont="1" applyAlignment="1">
      <alignment horizontal="center" vertical="center"/>
    </xf>
    <xf numFmtId="14" fontId="82" fillId="0" borderId="0" xfId="0" applyNumberFormat="1" applyFont="1" applyAlignment="1">
      <alignment horizontal="center" vertical="center"/>
    </xf>
    <xf numFmtId="0" fontId="79" fillId="0" borderId="0" xfId="0" applyFont="1" applyAlignment="1">
      <alignment horizontal="center" vertical="center"/>
    </xf>
    <xf numFmtId="0" fontId="79" fillId="0" borderId="0" xfId="0" applyFont="1" applyAlignment="1">
      <alignment horizontal="right" vertical="center" wrapText="1"/>
    </xf>
    <xf numFmtId="3" fontId="79" fillId="0" borderId="0" xfId="1" applyNumberFormat="1" applyFont="1" applyAlignment="1">
      <alignment horizontal="center" vertical="center"/>
    </xf>
    <xf numFmtId="166" fontId="3" fillId="0" borderId="0" xfId="1" applyNumberFormat="1" applyFont="1" applyBorder="1" applyAlignment="1">
      <alignment horizontal="center" vertical="center"/>
    </xf>
    <xf numFmtId="166" fontId="2" fillId="0" borderId="0" xfId="1" applyNumberFormat="1" applyFont="1" applyBorder="1" applyAlignment="1">
      <alignment horizontal="center" vertical="center"/>
    </xf>
    <xf numFmtId="0" fontId="83" fillId="0" borderId="0" xfId="0" applyFont="1" applyAlignment="1">
      <alignment horizontal="center" vertical="center"/>
    </xf>
    <xf numFmtId="3" fontId="84" fillId="0" borderId="0" xfId="1" applyNumberFormat="1" applyFont="1" applyAlignment="1">
      <alignment horizontal="center" vertical="center"/>
    </xf>
    <xf numFmtId="3" fontId="2" fillId="0" borderId="0" xfId="1" applyNumberFormat="1" applyFont="1" applyFill="1" applyAlignment="1">
      <alignment horizontal="center" vertical="center"/>
    </xf>
    <xf numFmtId="166" fontId="2" fillId="0" borderId="0" xfId="1" applyNumberFormat="1" applyFont="1" applyFill="1" applyAlignment="1">
      <alignment horizontal="center" vertical="center"/>
    </xf>
    <xf numFmtId="3" fontId="84" fillId="0" borderId="0" xfId="1" applyNumberFormat="1" applyFont="1" applyFill="1" applyAlignment="1">
      <alignment horizontal="center" vertical="center"/>
    </xf>
    <xf numFmtId="0" fontId="2" fillId="0" borderId="12" xfId="0" applyFont="1" applyBorder="1" applyAlignment="1">
      <alignment horizontal="right" vertical="center" wrapText="1"/>
    </xf>
    <xf numFmtId="3" fontId="84" fillId="0" borderId="0" xfId="1" applyNumberFormat="1" applyFont="1" applyAlignment="1">
      <alignment horizontal="right" vertical="center"/>
    </xf>
    <xf numFmtId="0" fontId="2" fillId="8" borderId="12" xfId="0" applyFont="1" applyFill="1" applyBorder="1" applyAlignment="1">
      <alignment horizontal="right" vertical="center" wrapText="1"/>
    </xf>
    <xf numFmtId="0" fontId="85" fillId="0" borderId="0" xfId="0" applyFont="1" applyAlignment="1">
      <alignment horizontal="center" vertical="center"/>
    </xf>
    <xf numFmtId="0" fontId="87" fillId="0" borderId="0" xfId="0" applyFont="1" applyAlignment="1">
      <alignment horizontal="center" vertical="center"/>
    </xf>
    <xf numFmtId="3" fontId="88" fillId="0" borderId="0" xfId="1" applyNumberFormat="1" applyFont="1" applyAlignment="1">
      <alignment horizontal="center" vertical="center"/>
    </xf>
    <xf numFmtId="166" fontId="2" fillId="9" borderId="0" xfId="1" applyNumberFormat="1" applyFont="1" applyFill="1" applyAlignment="1">
      <alignment horizontal="center" vertical="center"/>
    </xf>
    <xf numFmtId="14" fontId="36" fillId="0" borderId="0" xfId="0" applyNumberFormat="1" applyFont="1" applyAlignment="1">
      <alignment horizontal="center" vertical="center"/>
    </xf>
    <xf numFmtId="3" fontId="86" fillId="0" borderId="0" xfId="1" applyNumberFormat="1" applyFont="1" applyFill="1" applyAlignment="1">
      <alignment horizontal="center" vertical="center"/>
    </xf>
    <xf numFmtId="3" fontId="88" fillId="0" borderId="0" xfId="1" applyNumberFormat="1" applyFont="1" applyFill="1" applyAlignment="1">
      <alignment horizontal="center" vertical="center"/>
    </xf>
    <xf numFmtId="0" fontId="89" fillId="0" borderId="0" xfId="0" applyFont="1" applyAlignment="1">
      <alignment horizontal="center" vertical="center"/>
    </xf>
    <xf numFmtId="3" fontId="90" fillId="0" borderId="0" xfId="1" applyNumberFormat="1" applyFont="1" applyAlignment="1">
      <alignment horizontal="center" vertical="center"/>
    </xf>
    <xf numFmtId="166" fontId="2" fillId="0" borderId="0" xfId="1" applyNumberFormat="1" applyFont="1" applyAlignment="1">
      <alignment horizontal="right" vertical="center"/>
    </xf>
    <xf numFmtId="0" fontId="91" fillId="0" borderId="0" xfId="0" applyFont="1" applyAlignment="1">
      <alignment horizontal="center" vertical="center"/>
    </xf>
    <xf numFmtId="0" fontId="92" fillId="0" borderId="0" xfId="0" applyFont="1" applyAlignment="1">
      <alignment horizontal="center" vertical="center"/>
    </xf>
    <xf numFmtId="3" fontId="92" fillId="0" borderId="0" xfId="1" applyNumberFormat="1" applyFont="1" applyAlignment="1">
      <alignment horizontal="center" vertical="center"/>
    </xf>
    <xf numFmtId="0" fontId="36" fillId="0" borderId="12" xfId="0" applyFont="1" applyBorder="1" applyAlignment="1">
      <alignment horizontal="right" vertical="center" wrapText="1"/>
    </xf>
    <xf numFmtId="0" fontId="93" fillId="0" borderId="0" xfId="0" applyFont="1" applyAlignment="1">
      <alignment horizontal="center" vertical="center"/>
    </xf>
    <xf numFmtId="3" fontId="94" fillId="0" borderId="0" xfId="1" applyNumberFormat="1" applyFont="1" applyAlignment="1">
      <alignment horizontal="center" vertical="center"/>
    </xf>
    <xf numFmtId="0" fontId="97" fillId="0" borderId="0" xfId="0" applyFont="1" applyAlignment="1">
      <alignment horizontal="center" vertical="center"/>
    </xf>
    <xf numFmtId="3" fontId="98" fillId="0" borderId="0" xfId="1" applyNumberFormat="1" applyFont="1" applyAlignment="1">
      <alignment horizontal="center" vertical="center"/>
    </xf>
    <xf numFmtId="0" fontId="99" fillId="0" borderId="0" xfId="0" applyFont="1" applyAlignment="1">
      <alignment horizontal="center" vertical="center"/>
    </xf>
    <xf numFmtId="3" fontId="100" fillId="0" borderId="0" xfId="1" applyNumberFormat="1" applyFont="1" applyAlignment="1">
      <alignment horizontal="center" vertical="center"/>
    </xf>
    <xf numFmtId="0" fontId="100" fillId="0" borderId="0" xfId="0" applyFont="1" applyAlignment="1">
      <alignment horizontal="center" vertical="center"/>
    </xf>
    <xf numFmtId="0" fontId="36" fillId="0" borderId="0" xfId="7" applyFont="1" applyAlignment="1">
      <alignment horizontal="right" vertical="center" wrapText="1"/>
    </xf>
    <xf numFmtId="0" fontId="101" fillId="0" borderId="0" xfId="0" applyFont="1" applyAlignment="1">
      <alignment horizontal="center" vertical="center"/>
    </xf>
    <xf numFmtId="3" fontId="102" fillId="0" borderId="0" xfId="1" applyNumberFormat="1" applyFont="1" applyAlignment="1">
      <alignment horizontal="center" vertical="center"/>
    </xf>
    <xf numFmtId="0" fontId="103" fillId="0" borderId="0" xfId="0" applyFont="1" applyAlignment="1">
      <alignment horizontal="center" vertical="center"/>
    </xf>
    <xf numFmtId="3" fontId="104" fillId="0" borderId="0" xfId="1" applyNumberFormat="1" applyFont="1" applyAlignment="1">
      <alignment horizontal="center" vertical="center"/>
    </xf>
    <xf numFmtId="0" fontId="105" fillId="0" borderId="0" xfId="0" applyFont="1" applyAlignment="1">
      <alignment horizontal="center" vertical="center"/>
    </xf>
    <xf numFmtId="0" fontId="106" fillId="0" borderId="0" xfId="0" applyFont="1" applyAlignment="1">
      <alignment horizontal="center" vertical="center"/>
    </xf>
    <xf numFmtId="3" fontId="106" fillId="0" borderId="0" xfId="1" applyNumberFormat="1" applyFont="1" applyAlignment="1">
      <alignment horizontal="center" vertical="center"/>
    </xf>
    <xf numFmtId="14" fontId="105" fillId="0" borderId="0" xfId="0" applyNumberFormat="1" applyFont="1" applyAlignment="1">
      <alignment horizontal="center" vertical="center"/>
    </xf>
    <xf numFmtId="0" fontId="107" fillId="0" borderId="0" xfId="0" applyFont="1" applyAlignment="1">
      <alignment horizontal="center" vertical="center"/>
    </xf>
    <xf numFmtId="3" fontId="108" fillId="0" borderId="0" xfId="1" applyNumberFormat="1" applyFont="1" applyAlignment="1">
      <alignment horizontal="center" vertical="center"/>
    </xf>
    <xf numFmtId="166" fontId="10" fillId="0" borderId="0" xfId="1" applyNumberFormat="1" applyFont="1" applyBorder="1" applyAlignment="1">
      <alignment horizontal="center" vertical="center"/>
    </xf>
    <xf numFmtId="0" fontId="109" fillId="0" borderId="0" xfId="0" applyFont="1" applyAlignment="1">
      <alignment horizontal="center" vertical="center"/>
    </xf>
    <xf numFmtId="3" fontId="110" fillId="0" borderId="0" xfId="1" applyNumberFormat="1" applyFont="1" applyAlignment="1">
      <alignment horizontal="center" vertical="center"/>
    </xf>
    <xf numFmtId="169" fontId="109" fillId="0" borderId="0" xfId="0" applyNumberFormat="1" applyFont="1" applyAlignment="1">
      <alignment horizontal="center" vertical="center"/>
    </xf>
    <xf numFmtId="169" fontId="3" fillId="0" borderId="0" xfId="0" applyNumberFormat="1" applyFont="1" applyAlignment="1">
      <alignment horizontal="center" vertical="center"/>
    </xf>
    <xf numFmtId="0" fontId="111" fillId="0" borderId="0" xfId="0" applyFont="1" applyAlignment="1">
      <alignment horizontal="center" vertical="center"/>
    </xf>
    <xf numFmtId="169" fontId="111" fillId="0" borderId="0" xfId="0" applyNumberFormat="1" applyFont="1" applyAlignment="1">
      <alignment horizontal="center" vertical="center"/>
    </xf>
    <xf numFmtId="3" fontId="112" fillId="0" borderId="0" xfId="1" applyNumberFormat="1" applyFont="1" applyAlignment="1">
      <alignment horizontal="center" vertical="center"/>
    </xf>
    <xf numFmtId="0" fontId="2" fillId="0" borderId="0" xfId="0" applyFont="1" applyAlignment="1">
      <alignment horizontal="right" vertical="center"/>
    </xf>
    <xf numFmtId="166" fontId="2" fillId="0" borderId="0" xfId="1" applyNumberFormat="1" applyFont="1" applyBorder="1" applyAlignment="1">
      <alignment horizontal="center" vertical="center" wrapText="1"/>
    </xf>
    <xf numFmtId="0" fontId="113" fillId="0" borderId="0" xfId="0" applyFont="1" applyAlignment="1">
      <alignment horizontal="center" vertical="center"/>
    </xf>
    <xf numFmtId="3" fontId="114" fillId="0" borderId="0" xfId="1" applyNumberFormat="1" applyFont="1" applyAlignment="1">
      <alignment horizontal="center" vertical="center"/>
    </xf>
    <xf numFmtId="0" fontId="115" fillId="0" borderId="0" xfId="0" applyFont="1" applyAlignment="1">
      <alignment horizontal="center" vertical="center"/>
    </xf>
    <xf numFmtId="0" fontId="116" fillId="0" borderId="0" xfId="0" applyFont="1" applyAlignment="1">
      <alignment horizontal="center" vertical="center"/>
    </xf>
    <xf numFmtId="3" fontId="116" fillId="0" borderId="0" xfId="1" applyNumberFormat="1" applyFont="1" applyAlignment="1">
      <alignment horizontal="center" vertical="center"/>
    </xf>
    <xf numFmtId="49" fontId="2" fillId="0" borderId="0" xfId="0" applyNumberFormat="1" applyFont="1" applyAlignment="1">
      <alignment horizontal="center" vertical="center" wrapText="1"/>
    </xf>
    <xf numFmtId="0" fontId="117" fillId="0" borderId="0" xfId="0" applyFont="1" applyAlignment="1">
      <alignment horizontal="center" vertical="center"/>
    </xf>
    <xf numFmtId="49" fontId="2" fillId="0" borderId="0" xfId="0" applyNumberFormat="1" applyFont="1" applyAlignment="1">
      <alignment horizontal="center" vertical="center"/>
    </xf>
    <xf numFmtId="3" fontId="118" fillId="0" borderId="0" xfId="1" applyNumberFormat="1" applyFont="1" applyAlignment="1">
      <alignment horizontal="center" vertical="center"/>
    </xf>
    <xf numFmtId="0" fontId="119" fillId="0" borderId="0" xfId="0" applyFont="1" applyAlignment="1">
      <alignment horizontal="center" vertical="center"/>
    </xf>
    <xf numFmtId="0" fontId="120" fillId="0" borderId="0" xfId="0" applyFont="1" applyAlignment="1">
      <alignment horizontal="center" vertical="center"/>
    </xf>
    <xf numFmtId="3" fontId="120" fillId="0" borderId="0" xfId="1" applyNumberFormat="1" applyFont="1" applyAlignment="1">
      <alignment horizontal="center" vertical="center"/>
    </xf>
    <xf numFmtId="0" fontId="121" fillId="0" borderId="0" xfId="0" applyFont="1" applyAlignment="1">
      <alignment horizontal="center" vertical="center"/>
    </xf>
    <xf numFmtId="3" fontId="122" fillId="0" borderId="0" xfId="1" applyNumberFormat="1" applyFont="1" applyAlignment="1">
      <alignment horizontal="center" vertical="center"/>
    </xf>
    <xf numFmtId="0" fontId="122" fillId="0" borderId="0" xfId="0" applyFont="1" applyAlignment="1">
      <alignment horizontal="center" vertical="center"/>
    </xf>
    <xf numFmtId="166" fontId="123" fillId="0" borderId="0" xfId="1" applyNumberFormat="1" applyFont="1" applyBorder="1" applyAlignment="1">
      <alignment horizontal="center" vertical="center"/>
    </xf>
    <xf numFmtId="0" fontId="124" fillId="0" borderId="0" xfId="0" applyFont="1" applyAlignment="1">
      <alignment horizontal="center" vertical="center"/>
    </xf>
    <xf numFmtId="169" fontId="124" fillId="0" borderId="0" xfId="0" applyNumberFormat="1" applyFont="1" applyAlignment="1">
      <alignment horizontal="center" vertical="center"/>
    </xf>
    <xf numFmtId="3" fontId="125" fillId="0" borderId="0" xfId="1" applyNumberFormat="1" applyFont="1" applyAlignment="1">
      <alignment horizontal="center" vertical="center"/>
    </xf>
    <xf numFmtId="0" fontId="126" fillId="0" borderId="4" xfId="0" applyFont="1" applyBorder="1" applyAlignment="1">
      <alignment horizontal="center" vertical="center"/>
    </xf>
    <xf numFmtId="0" fontId="10" fillId="0" borderId="0" xfId="0" applyFont="1" applyAlignment="1">
      <alignment horizontal="center" vertical="center"/>
    </xf>
    <xf numFmtId="169" fontId="10" fillId="0" borderId="0" xfId="0" applyNumberFormat="1" applyFont="1" applyAlignment="1">
      <alignment horizontal="center" vertical="center"/>
    </xf>
    <xf numFmtId="0" fontId="127" fillId="0" borderId="0" xfId="0" applyFont="1" applyAlignment="1">
      <alignment horizontal="center" vertical="center"/>
    </xf>
    <xf numFmtId="3" fontId="128" fillId="0" borderId="0" xfId="1" applyNumberFormat="1" applyFont="1" applyAlignment="1">
      <alignment horizontal="center" vertical="center"/>
    </xf>
    <xf numFmtId="0" fontId="129" fillId="0" borderId="0" xfId="0" applyFont="1" applyAlignment="1">
      <alignment horizontal="center" vertical="center"/>
    </xf>
    <xf numFmtId="3" fontId="130" fillId="0" borderId="0" xfId="1" applyNumberFormat="1" applyFont="1" applyAlignment="1">
      <alignment horizontal="center" vertical="center"/>
    </xf>
    <xf numFmtId="0" fontId="3" fillId="10" borderId="0" xfId="0" applyFont="1" applyFill="1" applyAlignment="1">
      <alignment horizontal="center" vertical="center"/>
    </xf>
    <xf numFmtId="0" fontId="131" fillId="0" borderId="0" xfId="0" applyFont="1" applyAlignment="1">
      <alignment horizontal="center" vertical="center"/>
    </xf>
    <xf numFmtId="3" fontId="132" fillId="0" borderId="0" xfId="1" applyNumberFormat="1" applyFont="1" applyAlignment="1">
      <alignment horizontal="center" vertical="center"/>
    </xf>
    <xf numFmtId="0" fontId="133" fillId="0" borderId="0" xfId="0" applyFont="1" applyAlignment="1">
      <alignment horizontal="center" vertical="center"/>
    </xf>
    <xf numFmtId="3" fontId="134" fillId="0" borderId="0" xfId="1" applyNumberFormat="1" applyFont="1" applyAlignment="1">
      <alignment horizontal="center" vertical="center"/>
    </xf>
    <xf numFmtId="166" fontId="2" fillId="0" borderId="0" xfId="1" applyNumberFormat="1" applyFont="1" applyAlignment="1">
      <alignment horizontal="left" vertical="center"/>
    </xf>
    <xf numFmtId="0" fontId="135" fillId="0" borderId="0" xfId="0" applyFont="1" applyAlignment="1">
      <alignment horizontal="center" vertical="center"/>
    </xf>
    <xf numFmtId="0" fontId="136" fillId="0" borderId="0" xfId="0" applyFont="1" applyAlignment="1">
      <alignment horizontal="center" vertical="center"/>
    </xf>
    <xf numFmtId="3" fontId="136" fillId="0" borderId="0" xfId="1" applyNumberFormat="1" applyFont="1" applyAlignment="1">
      <alignment horizontal="center" vertical="center"/>
    </xf>
    <xf numFmtId="0" fontId="137" fillId="0" borderId="0" xfId="0" applyFont="1" applyAlignment="1">
      <alignment horizontal="center" vertical="center"/>
    </xf>
    <xf numFmtId="169" fontId="137" fillId="0" borderId="0" xfId="0" applyNumberFormat="1" applyFont="1" applyAlignment="1">
      <alignment horizontal="center" vertical="center"/>
    </xf>
    <xf numFmtId="3" fontId="138" fillId="0" borderId="0" xfId="1" applyNumberFormat="1" applyFont="1" applyAlignment="1">
      <alignment horizontal="center" vertical="center"/>
    </xf>
    <xf numFmtId="0" fontId="139" fillId="0" borderId="0" xfId="0" applyFont="1" applyAlignment="1">
      <alignment horizontal="center" vertical="center"/>
    </xf>
    <xf numFmtId="169" fontId="139" fillId="0" borderId="0" xfId="0" applyNumberFormat="1" applyFont="1" applyAlignment="1">
      <alignment horizontal="center" vertical="center"/>
    </xf>
    <xf numFmtId="0" fontId="140" fillId="0" borderId="0" xfId="0" applyFont="1" applyAlignment="1">
      <alignment horizontal="center" vertical="center"/>
    </xf>
    <xf numFmtId="3" fontId="140" fillId="0" borderId="0" xfId="1" applyNumberFormat="1" applyFont="1" applyAlignment="1">
      <alignment horizontal="center" vertical="center"/>
    </xf>
    <xf numFmtId="0" fontId="139" fillId="2" borderId="0" xfId="0" applyFont="1" applyFill="1" applyAlignment="1">
      <alignment horizontal="center" vertical="center"/>
    </xf>
    <xf numFmtId="0" fontId="141" fillId="0" borderId="0" xfId="0" applyFont="1" applyAlignment="1">
      <alignment horizontal="center" vertical="center"/>
    </xf>
    <xf numFmtId="3" fontId="142" fillId="0" borderId="0" xfId="1" applyNumberFormat="1" applyFont="1" applyAlignment="1">
      <alignment horizontal="center" vertical="center"/>
    </xf>
    <xf numFmtId="0" fontId="143" fillId="0" borderId="0" xfId="0" applyFont="1" applyAlignment="1">
      <alignment horizontal="center" vertical="center"/>
    </xf>
    <xf numFmtId="169" fontId="143" fillId="0" borderId="0" xfId="0" applyNumberFormat="1" applyFont="1" applyAlignment="1">
      <alignment horizontal="center" vertical="center"/>
    </xf>
    <xf numFmtId="3" fontId="144" fillId="0" borderId="0" xfId="1" applyNumberFormat="1" applyFont="1" applyAlignment="1">
      <alignment horizontal="center" vertical="center"/>
    </xf>
    <xf numFmtId="0" fontId="145" fillId="0" borderId="0" xfId="0" applyFont="1" applyAlignment="1">
      <alignment horizontal="center" vertical="center"/>
    </xf>
    <xf numFmtId="3" fontId="146" fillId="0" borderId="0" xfId="1" applyNumberFormat="1" applyFont="1" applyAlignment="1">
      <alignment horizontal="center" vertical="center"/>
    </xf>
    <xf numFmtId="49" fontId="3" fillId="0" borderId="0" xfId="0" applyNumberFormat="1" applyFont="1" applyAlignment="1">
      <alignment horizontal="center" vertical="center"/>
    </xf>
    <xf numFmtId="0" fontId="147" fillId="0" borderId="0" xfId="0" applyFont="1" applyAlignment="1">
      <alignment horizontal="center" vertical="center"/>
    </xf>
    <xf numFmtId="49" fontId="147" fillId="0" borderId="0" xfId="0" applyNumberFormat="1" applyFont="1" applyAlignment="1">
      <alignment horizontal="center" vertical="center"/>
    </xf>
    <xf numFmtId="3" fontId="148" fillId="0" borderId="0" xfId="1" applyNumberFormat="1" applyFont="1" applyAlignment="1">
      <alignment horizontal="center" vertical="center"/>
    </xf>
    <xf numFmtId="0" fontId="149" fillId="0" borderId="0" xfId="0" applyFont="1" applyAlignment="1">
      <alignment horizontal="center" vertical="center"/>
    </xf>
    <xf numFmtId="49" fontId="149" fillId="0" borderId="0" xfId="0" applyNumberFormat="1" applyFont="1" applyAlignment="1">
      <alignment horizontal="center" vertical="center"/>
    </xf>
    <xf numFmtId="3" fontId="150" fillId="0" borderId="0" xfId="1" applyNumberFormat="1" applyFont="1" applyAlignment="1">
      <alignment horizontal="center" vertical="center"/>
    </xf>
    <xf numFmtId="3" fontId="151" fillId="0" borderId="0" xfId="1" applyNumberFormat="1" applyFont="1" applyAlignment="1">
      <alignment horizontal="center" vertical="center"/>
    </xf>
    <xf numFmtId="3" fontId="152" fillId="0" borderId="0" xfId="1" applyNumberFormat="1" applyFont="1" applyAlignment="1">
      <alignment horizontal="center" vertical="center"/>
    </xf>
    <xf numFmtId="3" fontId="153" fillId="0" borderId="0" xfId="1" applyNumberFormat="1" applyFont="1" applyAlignment="1">
      <alignment horizontal="center" vertical="center"/>
    </xf>
    <xf numFmtId="166" fontId="2" fillId="0" borderId="0" xfId="5" applyNumberFormat="1" applyFont="1" applyFill="1" applyAlignment="1">
      <alignment horizontal="center" vertical="center"/>
    </xf>
    <xf numFmtId="49" fontId="154" fillId="0" borderId="0" xfId="0" applyNumberFormat="1" applyFont="1" applyAlignment="1">
      <alignment horizontal="center" vertical="center"/>
    </xf>
    <xf numFmtId="0" fontId="154" fillId="0" borderId="0" xfId="0" applyFont="1" applyAlignment="1">
      <alignment horizontal="center" vertical="center"/>
    </xf>
    <xf numFmtId="49" fontId="105" fillId="0" borderId="0" xfId="0" applyNumberFormat="1" applyFont="1" applyAlignment="1">
      <alignment horizontal="center" vertical="center"/>
    </xf>
    <xf numFmtId="0" fontId="36" fillId="0" borderId="0" xfId="0" quotePrefix="1" applyFont="1" applyAlignment="1">
      <alignment horizontal="right" vertical="center" wrapText="1"/>
    </xf>
    <xf numFmtId="49" fontId="155" fillId="0" borderId="0" xfId="0" applyNumberFormat="1" applyFont="1" applyAlignment="1">
      <alignment horizontal="center" vertical="center"/>
    </xf>
    <xf numFmtId="3" fontId="156" fillId="0" borderId="0" xfId="1" applyNumberFormat="1" applyFont="1" applyAlignment="1">
      <alignment horizontal="center" vertical="center"/>
    </xf>
    <xf numFmtId="166" fontId="2" fillId="0" borderId="0" xfId="5" applyNumberFormat="1" applyFont="1" applyAlignment="1">
      <alignment horizontal="center" vertical="center"/>
    </xf>
    <xf numFmtId="0" fontId="155" fillId="0" borderId="0" xfId="0" applyFont="1" applyAlignment="1">
      <alignment horizontal="center" vertical="center"/>
    </xf>
    <xf numFmtId="169" fontId="155" fillId="0" borderId="0" xfId="0" applyNumberFormat="1" applyFont="1" applyAlignment="1">
      <alignment horizontal="center" vertical="center"/>
    </xf>
    <xf numFmtId="0" fontId="157" fillId="0" borderId="0" xfId="0" applyFont="1" applyAlignment="1">
      <alignment horizontal="center" vertical="center"/>
    </xf>
    <xf numFmtId="49" fontId="157" fillId="0" borderId="0" xfId="0" applyNumberFormat="1" applyFont="1" applyAlignment="1">
      <alignment horizontal="center" vertical="center"/>
    </xf>
    <xf numFmtId="0" fontId="158" fillId="0" borderId="0" xfId="0" applyFont="1" applyAlignment="1">
      <alignment horizontal="center" vertical="center"/>
    </xf>
    <xf numFmtId="3" fontId="158" fillId="0" borderId="0" xfId="1" applyNumberFormat="1" applyFont="1" applyAlignment="1">
      <alignment horizontal="center" vertical="center"/>
    </xf>
    <xf numFmtId="169" fontId="159" fillId="0" borderId="0" xfId="0" applyNumberFormat="1" applyFont="1" applyAlignment="1">
      <alignment horizontal="center" vertical="center"/>
    </xf>
    <xf numFmtId="49" fontId="159" fillId="0" borderId="0" xfId="0" applyNumberFormat="1" applyFont="1" applyAlignment="1">
      <alignment horizontal="center" vertical="center"/>
    </xf>
    <xf numFmtId="3" fontId="160" fillId="0" borderId="0" xfId="1" applyNumberFormat="1" applyFont="1" applyAlignment="1">
      <alignment horizontal="center" vertical="center"/>
    </xf>
    <xf numFmtId="0" fontId="161" fillId="0" borderId="0" xfId="0" applyFont="1" applyAlignment="1">
      <alignment horizontal="center" vertical="center"/>
    </xf>
    <xf numFmtId="169" fontId="161" fillId="0" borderId="0" xfId="0" applyNumberFormat="1" applyFont="1" applyAlignment="1">
      <alignment horizontal="center" vertical="center"/>
    </xf>
    <xf numFmtId="49" fontId="161" fillId="0" borderId="0" xfId="0" applyNumberFormat="1" applyFont="1" applyAlignment="1">
      <alignment horizontal="center" vertical="center"/>
    </xf>
    <xf numFmtId="3" fontId="162" fillId="0" borderId="0" xfId="1" applyNumberFormat="1" applyFont="1" applyAlignment="1">
      <alignment horizontal="center" vertical="center"/>
    </xf>
    <xf numFmtId="0" fontId="163" fillId="0" borderId="0" xfId="0" applyFont="1" applyAlignment="1">
      <alignment horizontal="center" vertical="center"/>
    </xf>
    <xf numFmtId="49" fontId="163" fillId="0" borderId="0" xfId="0" applyNumberFormat="1" applyFont="1" applyAlignment="1">
      <alignment horizontal="center" vertical="center"/>
    </xf>
    <xf numFmtId="0" fontId="164" fillId="0" borderId="0" xfId="0" applyFont="1" applyAlignment="1">
      <alignment horizontal="center" vertical="center"/>
    </xf>
    <xf numFmtId="3" fontId="164" fillId="0" borderId="0" xfId="1" applyNumberFormat="1" applyFont="1" applyAlignment="1">
      <alignment horizontal="center" vertical="center"/>
    </xf>
    <xf numFmtId="49" fontId="165" fillId="0" borderId="0" xfId="0" applyNumberFormat="1" applyFont="1" applyAlignment="1">
      <alignment horizontal="center" vertical="center"/>
    </xf>
    <xf numFmtId="3" fontId="166" fillId="0" borderId="0" xfId="1" applyNumberFormat="1" applyFont="1" applyAlignment="1">
      <alignment horizontal="center" vertical="center"/>
    </xf>
    <xf numFmtId="49" fontId="167" fillId="0" borderId="0" xfId="0" applyNumberFormat="1" applyFont="1" applyAlignment="1">
      <alignment horizontal="center" vertical="center"/>
    </xf>
    <xf numFmtId="3" fontId="168" fillId="0" borderId="0" xfId="1" applyNumberFormat="1" applyFont="1" applyAlignment="1">
      <alignment horizontal="center" vertical="center"/>
    </xf>
    <xf numFmtId="49" fontId="169" fillId="0" borderId="0" xfId="0" applyNumberFormat="1" applyFont="1" applyAlignment="1">
      <alignment horizontal="center" vertical="center"/>
    </xf>
    <xf numFmtId="3" fontId="170" fillId="0" borderId="0" xfId="1" applyNumberFormat="1" applyFont="1" applyAlignment="1">
      <alignment horizontal="center" vertical="center"/>
    </xf>
    <xf numFmtId="0" fontId="169" fillId="0" borderId="0" xfId="0" applyFont="1" applyAlignment="1">
      <alignment horizontal="center" vertical="center"/>
    </xf>
    <xf numFmtId="0" fontId="171" fillId="0" borderId="0" xfId="0" applyFont="1" applyAlignment="1">
      <alignment horizontal="center" vertical="center"/>
    </xf>
    <xf numFmtId="49" fontId="171" fillId="0" borderId="0" xfId="0" applyNumberFormat="1" applyFont="1" applyAlignment="1">
      <alignment horizontal="center" vertical="center"/>
    </xf>
    <xf numFmtId="3" fontId="172" fillId="0" borderId="0" xfId="1" applyNumberFormat="1" applyFont="1" applyAlignment="1">
      <alignment horizontal="center" vertical="center"/>
    </xf>
    <xf numFmtId="0" fontId="173" fillId="0" borderId="0" xfId="0" applyFont="1" applyAlignment="1">
      <alignment horizontal="center" vertical="center"/>
    </xf>
    <xf numFmtId="49" fontId="173" fillId="0" borderId="0" xfId="0" applyNumberFormat="1" applyFont="1" applyAlignment="1">
      <alignment horizontal="center" vertical="center"/>
    </xf>
    <xf numFmtId="3" fontId="174" fillId="0" borderId="0" xfId="1" applyNumberFormat="1" applyFont="1" applyFill="1" applyAlignment="1">
      <alignment horizontal="center" vertical="center"/>
    </xf>
    <xf numFmtId="3" fontId="174" fillId="0" borderId="0" xfId="1" applyNumberFormat="1" applyFont="1" applyAlignment="1">
      <alignment horizontal="center" vertical="center"/>
    </xf>
    <xf numFmtId="49" fontId="175" fillId="0" borderId="0" xfId="0" applyNumberFormat="1" applyFont="1" applyAlignment="1">
      <alignment horizontal="center" vertical="center"/>
    </xf>
    <xf numFmtId="3" fontId="176" fillId="0" borderId="0" xfId="1" applyNumberFormat="1" applyFont="1" applyAlignment="1">
      <alignment horizontal="center" vertical="center"/>
    </xf>
    <xf numFmtId="0" fontId="177" fillId="0" borderId="0" xfId="0" applyFont="1" applyAlignment="1">
      <alignment horizontal="center" vertical="center"/>
    </xf>
    <xf numFmtId="49" fontId="177" fillId="0" borderId="0" xfId="0" applyNumberFormat="1" applyFont="1" applyAlignment="1">
      <alignment horizontal="center" vertical="center"/>
    </xf>
    <xf numFmtId="169" fontId="177" fillId="0" borderId="0" xfId="0" applyNumberFormat="1" applyFont="1" applyAlignment="1">
      <alignment horizontal="center" vertical="center"/>
    </xf>
    <xf numFmtId="3" fontId="178" fillId="0" borderId="0" xfId="1" applyNumberFormat="1" applyFont="1" applyAlignment="1">
      <alignment horizontal="center" vertical="center"/>
    </xf>
    <xf numFmtId="49" fontId="179" fillId="0" borderId="0" xfId="0" applyNumberFormat="1" applyFont="1" applyAlignment="1">
      <alignment horizontal="center" vertical="center"/>
    </xf>
    <xf numFmtId="3" fontId="180" fillId="0" borderId="0" xfId="1" applyNumberFormat="1" applyFont="1" applyAlignment="1">
      <alignment horizontal="center" vertical="center"/>
    </xf>
    <xf numFmtId="0" fontId="181" fillId="0" borderId="0" xfId="0" applyFont="1" applyAlignment="1">
      <alignment horizontal="center" vertical="center"/>
    </xf>
    <xf numFmtId="169" fontId="181" fillId="0" borderId="0" xfId="0" applyNumberFormat="1" applyFont="1" applyAlignment="1">
      <alignment horizontal="center" vertical="center"/>
    </xf>
    <xf numFmtId="49" fontId="181" fillId="0" borderId="0" xfId="0" applyNumberFormat="1" applyFont="1" applyAlignment="1">
      <alignment horizontal="center" vertical="center"/>
    </xf>
    <xf numFmtId="0" fontId="182" fillId="0" borderId="0" xfId="0" applyFont="1" applyAlignment="1">
      <alignment horizontal="center" vertical="center"/>
    </xf>
    <xf numFmtId="3" fontId="182" fillId="0" borderId="0" xfId="1" applyNumberFormat="1" applyFont="1" applyAlignment="1">
      <alignment horizontal="center" vertical="center"/>
    </xf>
    <xf numFmtId="0" fontId="0" fillId="0" borderId="0" xfId="0" applyAlignment="1">
      <alignment horizontal="center" vertical="center"/>
    </xf>
    <xf numFmtId="166" fontId="183" fillId="0" borderId="0" xfId="1" applyNumberFormat="1" applyFont="1" applyAlignment="1">
      <alignment horizontal="center" vertical="center"/>
    </xf>
    <xf numFmtId="166" fontId="184" fillId="0" borderId="0" xfId="1" applyNumberFormat="1" applyFont="1" applyAlignment="1">
      <alignment horizontal="center" vertical="center"/>
    </xf>
    <xf numFmtId="166" fontId="185" fillId="0" borderId="0" xfId="1" applyNumberFormat="1" applyFont="1" applyAlignment="1">
      <alignment horizontal="center" vertical="center"/>
    </xf>
    <xf numFmtId="0" fontId="186" fillId="0" borderId="0" xfId="0" applyFont="1" applyAlignment="1">
      <alignment horizontal="center" vertical="center"/>
    </xf>
    <xf numFmtId="3" fontId="187" fillId="0" borderId="0" xfId="1" applyNumberFormat="1" applyFont="1" applyFill="1" applyAlignment="1">
      <alignment horizontal="center" vertical="center"/>
    </xf>
    <xf numFmtId="166" fontId="188" fillId="0" borderId="0" xfId="1" applyNumberFormat="1" applyFont="1" applyAlignment="1">
      <alignment horizontal="center" vertical="center"/>
    </xf>
    <xf numFmtId="0" fontId="189" fillId="0" borderId="0" xfId="0" applyFont="1" applyAlignment="1">
      <alignment horizontal="center" vertical="center"/>
    </xf>
    <xf numFmtId="49" fontId="189" fillId="0" borderId="0" xfId="0" applyNumberFormat="1" applyFont="1" applyAlignment="1">
      <alignment horizontal="center" vertical="center"/>
    </xf>
    <xf numFmtId="0" fontId="190" fillId="0" borderId="0" xfId="0" applyFont="1" applyAlignment="1">
      <alignment horizontal="center" vertical="center"/>
    </xf>
    <xf numFmtId="3" fontId="190" fillId="0" borderId="0" xfId="1" applyNumberFormat="1" applyFont="1" applyAlignment="1">
      <alignment horizontal="center" vertical="center"/>
    </xf>
    <xf numFmtId="166" fontId="190" fillId="0" borderId="0" xfId="1" applyNumberFormat="1" applyFont="1" applyAlignment="1">
      <alignment horizontal="center" vertical="center"/>
    </xf>
    <xf numFmtId="166" fontId="191" fillId="0" borderId="0" xfId="1" applyNumberFormat="1" applyFont="1" applyAlignment="1">
      <alignment horizontal="center" vertical="center"/>
    </xf>
    <xf numFmtId="0" fontId="192" fillId="0" borderId="0" xfId="0" applyFont="1" applyAlignment="1">
      <alignment horizontal="center" vertical="center"/>
    </xf>
    <xf numFmtId="3" fontId="193" fillId="0" borderId="0" xfId="1" applyNumberFormat="1" applyFont="1" applyAlignment="1">
      <alignment horizontal="center" vertical="center"/>
    </xf>
    <xf numFmtId="166" fontId="193" fillId="0" borderId="0" xfId="1" applyNumberFormat="1" applyFont="1" applyAlignment="1">
      <alignment horizontal="center" vertical="center"/>
    </xf>
    <xf numFmtId="166" fontId="194" fillId="0" borderId="0" xfId="1" applyNumberFormat="1" applyFont="1" applyAlignment="1">
      <alignment horizontal="center" vertical="center"/>
    </xf>
    <xf numFmtId="0" fontId="195" fillId="0" borderId="0" xfId="0" applyFont="1" applyAlignment="1">
      <alignment horizontal="center" vertical="center"/>
    </xf>
    <xf numFmtId="169" fontId="195" fillId="0" borderId="0" xfId="0" applyNumberFormat="1" applyFont="1" applyAlignment="1">
      <alignment horizontal="center" vertical="center"/>
    </xf>
    <xf numFmtId="49" fontId="195" fillId="0" borderId="0" xfId="0" applyNumberFormat="1" applyFont="1" applyAlignment="1">
      <alignment horizontal="center" vertical="center"/>
    </xf>
    <xf numFmtId="0" fontId="196" fillId="0" borderId="0" xfId="0" applyFont="1" applyAlignment="1">
      <alignment horizontal="center" vertical="center"/>
    </xf>
    <xf numFmtId="3" fontId="196" fillId="0" borderId="0" xfId="1" applyNumberFormat="1" applyFont="1" applyAlignment="1">
      <alignment horizontal="center" vertical="center"/>
    </xf>
    <xf numFmtId="166" fontId="196" fillId="0" borderId="0" xfId="1" applyNumberFormat="1" applyFont="1" applyAlignment="1">
      <alignment horizontal="center" vertical="center"/>
    </xf>
    <xf numFmtId="166" fontId="197" fillId="0" borderId="0" xfId="1" applyNumberFormat="1" applyFont="1" applyAlignment="1">
      <alignment horizontal="center" vertical="center"/>
    </xf>
    <xf numFmtId="0" fontId="198" fillId="0" borderId="0" xfId="0" applyFont="1" applyAlignment="1">
      <alignment horizontal="center" vertical="center"/>
    </xf>
    <xf numFmtId="3" fontId="199" fillId="0" borderId="0" xfId="1" applyNumberFormat="1" applyFont="1" applyAlignment="1">
      <alignment horizontal="center" vertical="center"/>
    </xf>
    <xf numFmtId="166" fontId="199" fillId="0" borderId="0" xfId="1" applyNumberFormat="1" applyFont="1" applyAlignment="1">
      <alignment horizontal="center" vertical="center"/>
    </xf>
    <xf numFmtId="166" fontId="200" fillId="0" borderId="0" xfId="1" applyNumberFormat="1" applyFont="1" applyAlignment="1">
      <alignment horizontal="center" vertical="center"/>
    </xf>
    <xf numFmtId="0" fontId="201" fillId="0" borderId="0" xfId="0" applyFont="1" applyAlignment="1">
      <alignment horizontal="center" vertical="center"/>
    </xf>
    <xf numFmtId="3" fontId="202" fillId="0" borderId="0" xfId="1" applyNumberFormat="1" applyFont="1" applyAlignment="1">
      <alignment horizontal="center" vertical="center"/>
    </xf>
    <xf numFmtId="166" fontId="202" fillId="0" borderId="0" xfId="1" applyNumberFormat="1" applyFont="1" applyAlignment="1">
      <alignment horizontal="center" vertical="center"/>
    </xf>
    <xf numFmtId="166" fontId="203" fillId="0" borderId="0" xfId="1" applyNumberFormat="1" applyFont="1" applyAlignment="1">
      <alignment horizontal="center" vertical="center"/>
    </xf>
    <xf numFmtId="166" fontId="2" fillId="11" borderId="0" xfId="1" applyNumberFormat="1" applyFont="1" applyFill="1" applyAlignment="1">
      <alignment horizontal="center" vertical="center"/>
    </xf>
    <xf numFmtId="166" fontId="2" fillId="12" borderId="0" xfId="1" applyNumberFormat="1" applyFont="1" applyFill="1" applyAlignment="1">
      <alignment horizontal="center" vertical="center"/>
    </xf>
    <xf numFmtId="0" fontId="204" fillId="0" borderId="0" xfId="0" applyFont="1" applyAlignment="1">
      <alignment horizontal="center" vertical="center"/>
    </xf>
    <xf numFmtId="3" fontId="205" fillId="0" borderId="0" xfId="1" applyNumberFormat="1" applyFont="1" applyAlignment="1">
      <alignment horizontal="center" vertical="center"/>
    </xf>
    <xf numFmtId="166" fontId="205" fillId="0" borderId="0" xfId="1" applyNumberFormat="1" applyFont="1" applyAlignment="1">
      <alignment horizontal="center" vertical="center"/>
    </xf>
    <xf numFmtId="166" fontId="206" fillId="0" borderId="0" xfId="1" applyNumberFormat="1" applyFont="1" applyAlignment="1">
      <alignment horizontal="center" vertical="center"/>
    </xf>
    <xf numFmtId="0" fontId="207" fillId="0" borderId="0" xfId="0" applyFont="1" applyAlignment="1">
      <alignment horizontal="center" vertical="center"/>
    </xf>
    <xf numFmtId="169" fontId="207" fillId="0" borderId="0" xfId="0" applyNumberFormat="1" applyFont="1" applyAlignment="1">
      <alignment horizontal="center" vertical="center"/>
    </xf>
    <xf numFmtId="49" fontId="207" fillId="0" borderId="0" xfId="0" applyNumberFormat="1" applyFont="1" applyAlignment="1">
      <alignment horizontal="center" vertical="center"/>
    </xf>
    <xf numFmtId="0" fontId="208" fillId="0" borderId="0" xfId="0" applyFont="1" applyAlignment="1">
      <alignment horizontal="center" vertical="center"/>
    </xf>
    <xf numFmtId="3" fontId="208" fillId="0" borderId="0" xfId="1" applyNumberFormat="1" applyFont="1" applyAlignment="1">
      <alignment horizontal="center" vertical="center"/>
    </xf>
    <xf numFmtId="166" fontId="208" fillId="0" borderId="0" xfId="1" applyNumberFormat="1" applyFont="1" applyAlignment="1">
      <alignment horizontal="center" vertical="center"/>
    </xf>
    <xf numFmtId="166" fontId="209" fillId="0" borderId="0" xfId="1" applyNumberFormat="1" applyFont="1" applyAlignment="1">
      <alignment horizontal="center" vertical="center"/>
    </xf>
    <xf numFmtId="0" fontId="210" fillId="0" borderId="0" xfId="0" applyFont="1" applyAlignment="1">
      <alignment horizontal="center" vertical="center"/>
    </xf>
    <xf numFmtId="3" fontId="211" fillId="0" borderId="0" xfId="1" applyNumberFormat="1" applyFont="1" applyAlignment="1">
      <alignment horizontal="center" vertical="center"/>
    </xf>
    <xf numFmtId="166" fontId="211" fillId="0" borderId="0" xfId="1" applyNumberFormat="1" applyFont="1" applyAlignment="1">
      <alignment horizontal="center" vertical="center"/>
    </xf>
    <xf numFmtId="166" fontId="212" fillId="0" borderId="0" xfId="1" applyNumberFormat="1" applyFont="1" applyAlignment="1">
      <alignment horizontal="center" vertical="center"/>
    </xf>
    <xf numFmtId="0" fontId="213" fillId="0" borderId="0" xfId="0" applyFont="1" applyAlignment="1">
      <alignment horizontal="center" vertical="center"/>
    </xf>
    <xf numFmtId="169" fontId="213" fillId="0" borderId="0" xfId="0" applyNumberFormat="1" applyFont="1" applyAlignment="1">
      <alignment horizontal="center" vertical="center"/>
    </xf>
    <xf numFmtId="49" fontId="213" fillId="0" borderId="0" xfId="0" applyNumberFormat="1" applyFont="1" applyAlignment="1">
      <alignment horizontal="center" vertical="center"/>
    </xf>
    <xf numFmtId="0" fontId="214" fillId="0" borderId="0" xfId="0" applyFont="1" applyAlignment="1">
      <alignment horizontal="center" vertical="center"/>
    </xf>
    <xf numFmtId="3" fontId="214" fillId="0" borderId="0" xfId="1" applyNumberFormat="1" applyFont="1" applyAlignment="1">
      <alignment horizontal="center" vertical="center"/>
    </xf>
    <xf numFmtId="166" fontId="214" fillId="0" borderId="0" xfId="1" applyNumberFormat="1" applyFont="1" applyAlignment="1">
      <alignment horizontal="center" vertical="center"/>
    </xf>
    <xf numFmtId="166" fontId="215" fillId="0" borderId="0" xfId="1" applyNumberFormat="1" applyFont="1" applyAlignment="1">
      <alignment horizontal="center" vertical="center"/>
    </xf>
    <xf numFmtId="0" fontId="4" fillId="0" borderId="0" xfId="0" applyFont="1" applyAlignment="1">
      <alignment horizontal="center" vertical="center"/>
    </xf>
    <xf numFmtId="0" fontId="5" fillId="0" borderId="5"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8" fillId="0" borderId="9" xfId="0" applyFont="1" applyBorder="1" applyAlignment="1">
      <alignment horizontal="center" vertical="top"/>
    </xf>
    <xf numFmtId="0" fontId="8" fillId="0" borderId="11" xfId="0" applyFont="1" applyBorder="1" applyAlignment="1">
      <alignment horizontal="center" vertical="top"/>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166" fontId="35" fillId="0" borderId="10" xfId="1" applyNumberFormat="1" applyFont="1" applyBorder="1" applyAlignment="1">
      <alignment horizontal="right" vertical="center" wrapText="1"/>
    </xf>
    <xf numFmtId="166" fontId="35" fillId="0" borderId="11" xfId="1" applyNumberFormat="1" applyFont="1" applyBorder="1" applyAlignment="1">
      <alignment horizontal="right" vertical="center" wrapText="1"/>
    </xf>
    <xf numFmtId="3" fontId="51" fillId="0" borderId="0" xfId="0" applyNumberFormat="1" applyFont="1" applyAlignment="1">
      <alignment horizontal="right" vertical="center" wrapText="1"/>
    </xf>
    <xf numFmtId="0" fontId="51" fillId="0" borderId="0" xfId="0" applyFont="1" applyAlignment="1">
      <alignment horizontal="right" vertical="center" wrapText="1"/>
    </xf>
    <xf numFmtId="0" fontId="51" fillId="0" borderId="5" xfId="0" applyFont="1" applyBorder="1" applyAlignment="1">
      <alignment horizontal="right" vertical="center" wrapText="1"/>
    </xf>
    <xf numFmtId="2" fontId="35" fillId="0" borderId="7" xfId="0" applyNumberFormat="1" applyFont="1" applyBorder="1" applyAlignment="1">
      <alignment horizontal="center" vertical="center"/>
    </xf>
    <xf numFmtId="2" fontId="35" fillId="0" borderId="8" xfId="0" applyNumberFormat="1" applyFont="1" applyBorder="1" applyAlignment="1">
      <alignment horizontal="center" vertical="center"/>
    </xf>
    <xf numFmtId="0" fontId="5" fillId="2" borderId="9" xfId="0" applyFont="1" applyFill="1" applyBorder="1" applyAlignment="1">
      <alignment horizontal="center" vertical="center" shrinkToFit="1"/>
    </xf>
    <xf numFmtId="0" fontId="5" fillId="2" borderId="11" xfId="0" applyFont="1" applyFill="1" applyBorder="1" applyAlignment="1">
      <alignment horizontal="center" vertical="center" shrinkToFit="1"/>
    </xf>
    <xf numFmtId="0" fontId="8" fillId="0" borderId="2" xfId="0" applyFont="1" applyBorder="1" applyAlignment="1">
      <alignment horizontal="center"/>
    </xf>
    <xf numFmtId="0" fontId="8" fillId="0" borderId="3" xfId="0" applyFont="1" applyBorder="1" applyAlignment="1">
      <alignment horizontal="center"/>
    </xf>
    <xf numFmtId="0" fontId="5" fillId="0" borderId="0" xfId="0" applyFont="1" applyAlignment="1">
      <alignment horizontal="center"/>
    </xf>
    <xf numFmtId="0" fontId="7" fillId="2" borderId="1" xfId="0" applyFont="1" applyFill="1" applyBorder="1" applyAlignment="1">
      <alignment horizontal="center"/>
    </xf>
    <xf numFmtId="0" fontId="7" fillId="2" borderId="2" xfId="0" applyFont="1" applyFill="1" applyBorder="1" applyAlignment="1">
      <alignment horizontal="center"/>
    </xf>
    <xf numFmtId="0" fontId="7" fillId="2" borderId="3" xfId="0" applyFont="1" applyFill="1" applyBorder="1" applyAlignment="1">
      <alignment horizontal="center"/>
    </xf>
    <xf numFmtId="0" fontId="7" fillId="2" borderId="4" xfId="0" applyFont="1" applyFill="1" applyBorder="1" applyAlignment="1">
      <alignment horizontal="center"/>
    </xf>
    <xf numFmtId="0" fontId="7" fillId="2" borderId="0" xfId="0" applyFont="1" applyFill="1" applyAlignment="1">
      <alignment horizontal="center"/>
    </xf>
    <xf numFmtId="0" fontId="7" fillId="2" borderId="5" xfId="0" applyFont="1" applyFill="1" applyBorder="1" applyAlignment="1">
      <alignment horizontal="center"/>
    </xf>
    <xf numFmtId="14" fontId="10" fillId="2" borderId="5" xfId="0" applyNumberFormat="1" applyFont="1" applyFill="1" applyBorder="1" applyAlignment="1">
      <alignment horizontal="center" vertical="center"/>
    </xf>
    <xf numFmtId="0" fontId="5" fillId="2" borderId="5" xfId="0" applyFont="1" applyFill="1" applyBorder="1" applyAlignment="1">
      <alignment horizontal="center"/>
    </xf>
    <xf numFmtId="164" fontId="51" fillId="0" borderId="0" xfId="0" applyNumberFormat="1" applyFont="1" applyAlignment="1">
      <alignment horizontal="right" vertical="center" wrapText="1"/>
    </xf>
    <xf numFmtId="164" fontId="51" fillId="0" borderId="5" xfId="0" applyNumberFormat="1" applyFont="1" applyBorder="1" applyAlignment="1">
      <alignment horizontal="right" vertical="center" wrapText="1"/>
    </xf>
    <xf numFmtId="164" fontId="55" fillId="0" borderId="0" xfId="0" applyNumberFormat="1" applyFont="1" applyAlignment="1">
      <alignment horizontal="right" vertical="center" wrapText="1"/>
    </xf>
    <xf numFmtId="164" fontId="55" fillId="0" borderId="5" xfId="0" applyNumberFormat="1" applyFont="1" applyBorder="1" applyAlignment="1">
      <alignment horizontal="right"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14" fontId="5" fillId="2" borderId="5" xfId="0" applyNumberFormat="1" applyFont="1" applyFill="1" applyBorder="1" applyAlignment="1">
      <alignment horizontal="center"/>
    </xf>
    <xf numFmtId="3" fontId="216" fillId="0" borderId="0" xfId="1" applyNumberFormat="1" applyFont="1" applyAlignment="1">
      <alignment horizontal="center" vertical="center"/>
    </xf>
  </cellXfs>
  <cellStyles count="13">
    <cellStyle name="Comma" xfId="1" builtinId="3"/>
    <cellStyle name="Comma [0] 2" xfId="4" xr:uid="{F8A0F572-4FD7-4FD1-83B0-517D3561A634}"/>
    <cellStyle name="Comma 2" xfId="5" xr:uid="{EC47C2F9-4CB8-45C5-B63B-D95C8036B96B}"/>
    <cellStyle name="Comma 3" xfId="3" xr:uid="{70B57DF3-BC3A-40AE-91F0-F0BB0E7B5180}"/>
    <cellStyle name="Comma 4" xfId="8" xr:uid="{80839949-E06C-4733-8080-B89D816E24D3}"/>
    <cellStyle name="Comma 5" xfId="10" xr:uid="{FEAB6A2F-5977-420D-9DC9-6A9CDEF8A7CC}"/>
    <cellStyle name="Comma 6" xfId="11" xr:uid="{1FA333F4-A1B8-4412-8D35-F64739EDDEA8}"/>
    <cellStyle name="Comma 7" xfId="12" xr:uid="{33E6C862-24C3-497A-853F-B078414D41A6}"/>
    <cellStyle name="Comma 8" xfId="9" xr:uid="{1FB5313F-27C4-433A-989D-A9FB435A024C}"/>
    <cellStyle name="Normal" xfId="0" builtinId="0"/>
    <cellStyle name="Normal 2" xfId="6" xr:uid="{98CF68CF-8F8E-4BEE-B018-138C39F106CA}"/>
    <cellStyle name="Normal 3" xfId="7" xr:uid="{277ED621-4AC6-4BB8-8806-6B87B7885DCC}"/>
    <cellStyle name="Normal 4" xfId="2" xr:uid="{E2E20800-BE8B-4B7E-BC67-8BF89004D28F}"/>
  </cellStyles>
  <dxfs count="105">
    <dxf>
      <font>
        <b val="0"/>
        <i val="0"/>
        <strike val="0"/>
        <condense val="0"/>
        <extend val="0"/>
        <outline val="0"/>
        <shadow val="0"/>
        <u val="none"/>
        <vertAlign val="baseline"/>
        <sz val="12"/>
        <color theme="1"/>
        <name val="B Nazanin"/>
        <charset val="178"/>
        <scheme val="none"/>
      </font>
      <numFmt numFmtId="166"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3" formatCode="#,##0"/>
      <alignment horizontal="center" vertical="center" textRotation="0" wrapText="1" indent="0" justifyLastLine="0" shrinkToFit="0" readingOrder="0"/>
    </dxf>
    <dxf>
      <font>
        <b val="0"/>
        <i val="0"/>
        <strike val="0"/>
        <condense val="0"/>
        <extend val="0"/>
        <outline val="0"/>
        <shadow val="0"/>
        <u val="none"/>
        <vertAlign val="baseline"/>
        <sz val="12"/>
        <color theme="1"/>
        <name val="B Nazanin"/>
        <charset val="178"/>
        <scheme val="none"/>
      </font>
      <numFmt numFmtId="30" formatCode="@"/>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19" formatCode="m/d/yyyy"/>
      <alignment horizontal="center" vertical="center" textRotation="0" wrapText="0" indent="0" justifyLastLine="0" shrinkToFit="0" readingOrder="0"/>
    </dxf>
    <dxf>
      <font>
        <b/>
        <i val="0"/>
        <strike val="0"/>
        <condense val="0"/>
        <extend val="0"/>
        <outline val="0"/>
        <shadow val="0"/>
        <u val="none"/>
        <vertAlign val="baseline"/>
        <sz val="12"/>
        <color auto="1"/>
        <name val="B Nazanin"/>
        <charset val="178"/>
        <scheme val="none"/>
      </font>
      <numFmt numFmtId="30" formatCode="@"/>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19" formatCode="m/d/yyyy"/>
      <alignment horizontal="center" vertical="center" textRotation="0" wrapText="0" indent="0" justifyLastLine="0" shrinkToFit="0" readingOrder="0"/>
    </dxf>
    <dxf>
      <font>
        <b/>
        <i val="0"/>
        <strike val="0"/>
        <condense val="0"/>
        <extend val="0"/>
        <outline val="0"/>
        <shadow val="0"/>
        <u val="none"/>
        <vertAlign val="baseline"/>
        <sz val="12"/>
        <color auto="1"/>
        <name val="B Nazanin"/>
        <charset val="178"/>
        <scheme val="none"/>
      </font>
      <alignment horizontal="center" vertical="center" textRotation="0" wrapText="0" indent="0" justifyLastLine="0" shrinkToFit="0" readingOrder="0"/>
    </dxf>
    <dxf>
      <alignment horizontal="center" vertical="center" textRotation="0" indent="0" justifyLastLine="0" shrinkToFit="0" readingOrder="0"/>
    </dxf>
    <dxf>
      <font>
        <b val="0"/>
        <i val="0"/>
        <strike val="0"/>
        <condense val="0"/>
        <extend val="0"/>
        <outline val="0"/>
        <shadow val="0"/>
        <u val="none"/>
        <vertAlign val="baseline"/>
        <sz val="12"/>
        <color rgb="FF000000"/>
        <name val="B Nazanin"/>
        <scheme val="none"/>
      </font>
      <numFmt numFmtId="166" formatCode="_-* #,##0_-;_-* #,##0\-;_-* &quot;-&quot;??_-;_-@_-"/>
      <alignment horizontal="center" vertical="center" textRotation="0" indent="0" justifyLastLine="0" shrinkToFit="0" readingOrder="0"/>
    </dxf>
    <dxf>
      <font>
        <b/>
        <i val="0"/>
        <strike val="0"/>
        <condense val="0"/>
        <extend val="0"/>
        <outline val="0"/>
        <shadow val="0"/>
        <u val="none"/>
        <vertAlign val="baseline"/>
        <sz val="12"/>
        <color auto="1"/>
        <name val="B Nazanin"/>
        <scheme val="none"/>
      </font>
      <numFmt numFmtId="166"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scheme val="none"/>
      </font>
      <numFmt numFmtId="166"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166" formatCode="_-* #,##0_-;_-* #,##0\-;_-* &quot;-&quot;??_-;_-@_-"/>
      <alignment horizontal="center" vertical="center" textRotation="0" wrapText="0" indent="0" justifyLastLine="0" shrinkToFit="0" readingOrder="0"/>
    </dxf>
    <dxf>
      <font>
        <sz val="12"/>
        <name val="B Nazanin"/>
        <scheme val="none"/>
      </font>
      <numFmt numFmtId="3" formatCode="#,##0"/>
      <alignment horizontal="center" vertical="center" textRotation="0" wrapText="0" indent="0" justifyLastLine="0" shrinkToFit="0" readingOrder="0"/>
    </dxf>
    <dxf>
      <alignment horizontal="right" vertical="center" textRotation="0" wrapText="1" indent="0" justifyLastLine="0" shrinkToFit="0" readingOrder="0"/>
    </dxf>
    <dxf>
      <font>
        <b val="0"/>
        <i val="0"/>
        <strike val="0"/>
        <condense val="0"/>
        <extend val="0"/>
        <outline val="0"/>
        <shadow val="0"/>
        <u val="none"/>
        <vertAlign val="baseline"/>
        <sz val="12"/>
        <color theme="1"/>
        <name val="B Nazanin"/>
        <charset val="178"/>
        <scheme val="none"/>
      </font>
      <numFmt numFmtId="30" formatCode="@"/>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scheme val="none"/>
      </font>
      <alignment horizontal="center" vertical="center" textRotation="0" wrapText="0" indent="0" justifyLastLine="0" shrinkToFit="0" readingOrder="0"/>
    </dxf>
    <dxf>
      <font>
        <b/>
        <sz val="12"/>
        <color auto="1"/>
        <name val="B Nazanin"/>
        <scheme val="none"/>
      </font>
      <numFmt numFmtId="30" formatCode="@"/>
      <alignment horizontal="center" vertical="center" textRotation="0" wrapText="0" indent="0" justifyLastLine="0" shrinkToFit="0" readingOrder="0"/>
    </dxf>
    <dxf>
      <font>
        <sz val="12"/>
        <name val="B Nazanin"/>
        <scheme val="none"/>
      </font>
      <numFmt numFmtId="169" formatCode="mm/dd/yyyy"/>
      <alignment horizontal="center" vertical="center" textRotation="0" wrapText="0" indent="0" justifyLastLine="0" shrinkToFit="0" readingOrder="0"/>
    </dxf>
    <dxf>
      <font>
        <b/>
        <sz val="12"/>
        <color auto="1"/>
        <name val="B Nazanin"/>
        <scheme val="none"/>
      </font>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166" formatCode="_-* #,##0_-;_-* #,##0\-;_-* &quot;-&quot;??_-;_-@_-"/>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theme="1"/>
        <name val="B Nazanin"/>
        <charset val="178"/>
        <scheme val="none"/>
      </font>
      <numFmt numFmtId="166"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166"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scheme val="none"/>
      </font>
      <numFmt numFmtId="166"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166"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3" formatCode="#,##0"/>
      <alignment horizontal="center" vertical="center" textRotation="0" wrapText="0" indent="0" justifyLastLine="0" shrinkToFit="0" readingOrder="0"/>
    </dxf>
    <dxf>
      <font>
        <sz val="12"/>
        <name val="B Nazanin"/>
        <scheme val="none"/>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3" formatCode="#,##0"/>
      <alignment horizontal="center" vertical="center" textRotation="0" wrapText="1" indent="0" justifyLastLine="0" shrinkToFit="0" readingOrder="0"/>
    </dxf>
    <dxf>
      <alignment horizontal="right" vertical="center" textRotation="0" wrapText="1" indent="0" justifyLastLine="0" shrinkToFit="0" readingOrder="0"/>
    </dxf>
    <dxf>
      <font>
        <b val="0"/>
        <i val="0"/>
        <strike val="0"/>
        <condense val="0"/>
        <extend val="0"/>
        <outline val="0"/>
        <shadow val="0"/>
        <u val="none"/>
        <vertAlign val="baseline"/>
        <sz val="12"/>
        <color theme="1"/>
        <name val="B Nazanin"/>
        <charset val="178"/>
        <scheme val="none"/>
      </font>
      <numFmt numFmtId="170" formatCode="dd/mm/yyyy"/>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170" formatCode="dd/mm/yyyy"/>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scheme val="none"/>
      </font>
      <alignment horizontal="center" vertical="center" textRotation="0" wrapText="0" indent="0" justifyLastLine="0" shrinkToFit="0" readingOrder="0"/>
    </dxf>
    <dxf>
      <font>
        <b/>
        <i val="0"/>
        <strike val="0"/>
        <condense val="0"/>
        <extend val="0"/>
        <outline val="0"/>
        <shadow val="0"/>
        <u val="none"/>
        <vertAlign val="baseline"/>
        <sz val="12"/>
        <color auto="1"/>
        <name val="B Nazanin"/>
        <charset val="178"/>
        <scheme val="none"/>
      </font>
      <alignment horizontal="center" vertical="center" textRotation="0" wrapText="0" indent="0" justifyLastLine="0" shrinkToFit="0" readingOrder="0"/>
    </dxf>
    <dxf>
      <font>
        <b/>
        <sz val="12"/>
        <color auto="1"/>
        <name val="B Nazanin"/>
        <scheme val="none"/>
      </font>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170" formatCode="dd/mm/yyyy"/>
      <alignment horizontal="center" vertical="center" textRotation="0" wrapText="0" indent="0" justifyLastLine="0" shrinkToFit="0" readingOrder="0"/>
    </dxf>
    <dxf>
      <font>
        <sz val="12"/>
        <name val="B Nazanin"/>
        <scheme val="none"/>
      </font>
      <numFmt numFmtId="169" formatCode="mm/dd/yyyy"/>
      <alignment horizontal="center" vertical="center" textRotation="0" wrapText="0" indent="0" justifyLastLine="0" shrinkToFit="0" readingOrder="0"/>
    </dxf>
    <dxf>
      <font>
        <b/>
        <i val="0"/>
        <strike val="0"/>
        <condense val="0"/>
        <extend val="0"/>
        <outline val="0"/>
        <shadow val="0"/>
        <u val="none"/>
        <vertAlign val="baseline"/>
        <sz val="12"/>
        <color auto="1"/>
        <name val="B Nazanin"/>
        <charset val="178"/>
        <scheme val="none"/>
      </font>
      <alignment horizontal="center" vertical="center" textRotation="0" wrapText="0" indent="0" justifyLastLine="0" shrinkToFit="0" readingOrder="0"/>
    </dxf>
    <dxf>
      <font>
        <b/>
        <sz val="12"/>
        <color auto="1"/>
        <name val="B Nazanin"/>
        <scheme val="none"/>
      </font>
      <alignment horizontal="center" vertical="center" textRotation="0" wrapText="0" indent="0" justifyLastLine="0" shrinkToFit="0" readingOrder="0"/>
    </dxf>
    <dxf>
      <alignment horizontal="center" vertical="center" textRotation="0" indent="0" justifyLastLine="0" shrinkToFit="0" readingOrder="0"/>
    </dxf>
    <dxf>
      <font>
        <b val="0"/>
        <i val="0"/>
        <strike val="0"/>
        <condense val="0"/>
        <extend val="0"/>
        <outline val="0"/>
        <shadow val="0"/>
        <u val="none"/>
        <vertAlign val="baseline"/>
        <sz val="12"/>
        <color rgb="FF000000"/>
        <name val="B Nazanin"/>
        <scheme val="none"/>
      </font>
      <numFmt numFmtId="166" formatCode="_-* #,##0_-;_-* #,##0\-;_-* &quot;-&quot;??_-;_-@_-"/>
      <alignment horizontal="center" vertical="center" textRotation="0" indent="0" justifyLastLine="0" shrinkToFit="0" readingOrder="0"/>
    </dxf>
    <dxf>
      <font>
        <b/>
        <i val="0"/>
        <strike val="0"/>
        <condense val="0"/>
        <extend val="0"/>
        <outline val="0"/>
        <shadow val="0"/>
        <u val="none"/>
        <vertAlign val="baseline"/>
        <sz val="12"/>
        <color auto="1"/>
        <name val="B Nazanin"/>
        <scheme val="none"/>
      </font>
      <numFmt numFmtId="166"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166" formatCode="_-* #,##0_-;_-* #,##0\-;_-* &quot;-&quot;??_-;_-@_-"/>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theme="1"/>
        <name val="B Nazanin"/>
        <charset val="178"/>
        <scheme val="none"/>
      </font>
      <numFmt numFmtId="166"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166"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scheme val="none"/>
      </font>
      <numFmt numFmtId="166"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166"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3" formatCode="#,##0"/>
      <alignment horizontal="center" vertical="center" textRotation="0" wrapText="0" indent="0" justifyLastLine="0" shrinkToFit="0" readingOrder="0"/>
    </dxf>
    <dxf>
      <font>
        <sz val="12"/>
        <name val="B Nazanin"/>
        <scheme val="none"/>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3" formatCode="#,##0"/>
      <alignment horizontal="center" vertical="center" textRotation="0" wrapText="1" indent="0" justifyLastLine="0" shrinkToFit="0" readingOrder="0"/>
    </dxf>
    <dxf>
      <alignment horizontal="right" vertical="center" textRotation="0" wrapText="1" indent="0" justifyLastLine="0" shrinkToFit="0" readingOrder="0"/>
    </dxf>
    <dxf>
      <font>
        <b val="0"/>
        <i val="0"/>
        <strike val="0"/>
        <condense val="0"/>
        <extend val="0"/>
        <outline val="0"/>
        <shadow val="0"/>
        <u val="none"/>
        <vertAlign val="baseline"/>
        <sz val="12"/>
        <color theme="1"/>
        <name val="B Nazanin"/>
        <charset val="178"/>
        <scheme val="none"/>
      </font>
      <numFmt numFmtId="19" formatCode="m/d/yyyy"/>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scheme val="none"/>
      </font>
      <alignment horizontal="center" vertical="center" textRotation="0" wrapText="0" indent="0" justifyLastLine="0" shrinkToFit="0" readingOrder="0"/>
    </dxf>
    <dxf>
      <font>
        <b/>
        <i val="0"/>
        <strike val="0"/>
        <condense val="0"/>
        <extend val="0"/>
        <outline val="0"/>
        <shadow val="0"/>
        <u val="none"/>
        <vertAlign val="baseline"/>
        <sz val="12"/>
        <color auto="1"/>
        <name val="B Nazanin"/>
        <charset val="178"/>
        <scheme val="none"/>
      </font>
      <alignment horizontal="center" vertical="center" textRotation="0" wrapText="0" indent="0" justifyLastLine="0" shrinkToFit="0" readingOrder="0"/>
    </dxf>
    <dxf>
      <font>
        <b/>
        <sz val="12"/>
        <color auto="1"/>
        <name val="B Nazanin"/>
        <scheme val="none"/>
      </font>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19" formatCode="m/d/yyyy"/>
      <alignment horizontal="center" vertical="center" textRotation="0" wrapText="0" indent="0" justifyLastLine="0" shrinkToFit="0" readingOrder="0"/>
    </dxf>
    <dxf>
      <font>
        <sz val="12"/>
        <name val="B Nazanin"/>
        <scheme val="none"/>
      </font>
      <numFmt numFmtId="169" formatCode="mm/dd/yyyy"/>
      <alignment horizontal="center" vertical="center" textRotation="0" wrapText="0" indent="0" justifyLastLine="0" shrinkToFit="0" readingOrder="0"/>
    </dxf>
    <dxf>
      <font>
        <b/>
        <i val="0"/>
        <strike val="0"/>
        <condense val="0"/>
        <extend val="0"/>
        <outline val="0"/>
        <shadow val="0"/>
        <u val="none"/>
        <vertAlign val="baseline"/>
        <sz val="12"/>
        <color auto="1"/>
        <name val="B Nazanin"/>
        <charset val="178"/>
        <scheme val="none"/>
      </font>
      <alignment horizontal="center" vertical="center" textRotation="0" wrapText="0" indent="0" justifyLastLine="0" shrinkToFit="0" readingOrder="0"/>
    </dxf>
    <dxf>
      <font>
        <b/>
        <sz val="12"/>
        <color auto="1"/>
        <name val="B Nazanin"/>
        <scheme val="none"/>
      </font>
      <alignment horizontal="center" vertical="center" textRotation="0" wrapText="0" indent="0" justifyLastLine="0" shrinkToFit="0" readingOrder="0"/>
    </dxf>
    <dxf>
      <alignment horizontal="center" vertical="center" textRotation="0" indent="0" justifyLastLine="0" shrinkToFit="0" readingOrder="0"/>
    </dxf>
    <dxf>
      <font>
        <b val="0"/>
        <i val="0"/>
        <strike val="0"/>
        <condense val="0"/>
        <extend val="0"/>
        <outline val="0"/>
        <shadow val="0"/>
        <u val="none"/>
        <vertAlign val="baseline"/>
        <sz val="12"/>
        <color theme="1"/>
        <name val="B Nazanin"/>
        <scheme val="none"/>
      </font>
      <numFmt numFmtId="166" formatCode="_-* #,##0_-;_-* #,##0\-;_-* &quot;-&quot;??_-;_-@_-"/>
      <alignment horizontal="center" vertical="center" textRotation="0" indent="0" justifyLastLine="0" shrinkToFit="0" readingOrder="0"/>
    </dxf>
    <dxf>
      <font>
        <b/>
        <i val="0"/>
        <strike val="0"/>
        <condense val="0"/>
        <extend val="0"/>
        <outline val="0"/>
        <shadow val="0"/>
        <u val="none"/>
        <vertAlign val="baseline"/>
        <sz val="12"/>
        <color auto="1"/>
        <name val="B Nazanin"/>
        <scheme val="none"/>
      </font>
      <numFmt numFmtId="166"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166"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scheme val="none"/>
      </font>
      <numFmt numFmtId="166"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scheme val="none"/>
      </font>
      <numFmt numFmtId="166"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3" formatCode="#,##0"/>
      <alignment horizontal="center" vertical="center" textRotation="0" wrapText="0" indent="0" justifyLastLine="0" shrinkToFit="0" readingOrder="0"/>
    </dxf>
    <dxf>
      <font>
        <sz val="12"/>
        <name val="B Nazanin"/>
        <scheme val="none"/>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3" formatCode="#,##0"/>
      <alignment horizontal="center" vertical="center" textRotation="0" wrapText="1" indent="0" justifyLastLine="0" shrinkToFit="0" readingOrder="0"/>
    </dxf>
    <dxf>
      <alignment horizontal="right" vertical="center" textRotation="0" wrapText="1" indent="0" justifyLastLine="0" shrinkToFit="0" readingOrder="0"/>
    </dxf>
    <dxf>
      <font>
        <b val="0"/>
        <i val="0"/>
        <strike val="0"/>
        <condense val="0"/>
        <extend val="0"/>
        <outline val="0"/>
        <shadow val="0"/>
        <u val="none"/>
        <vertAlign val="baseline"/>
        <sz val="12"/>
        <color theme="1"/>
        <name val="B Nazanin"/>
        <charset val="178"/>
        <scheme val="none"/>
      </font>
      <numFmt numFmtId="19" formatCode="m/d/yyyy"/>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scheme val="none"/>
      </font>
      <alignment horizontal="center" vertical="center" textRotation="0" wrapText="0" indent="0" justifyLastLine="0" shrinkToFit="0" readingOrder="0"/>
    </dxf>
    <dxf>
      <font>
        <b/>
        <i val="0"/>
        <strike val="0"/>
        <condense val="0"/>
        <extend val="0"/>
        <outline val="0"/>
        <shadow val="0"/>
        <u val="none"/>
        <vertAlign val="baseline"/>
        <sz val="12"/>
        <color auto="1"/>
        <name val="B Nazanin"/>
        <charset val="178"/>
        <scheme val="none"/>
      </font>
      <alignment horizontal="center" vertical="center" textRotation="0" wrapText="0" indent="0" justifyLastLine="0" shrinkToFit="0" readingOrder="0"/>
    </dxf>
    <dxf>
      <font>
        <b/>
        <sz val="12"/>
        <color auto="1"/>
        <name val="B Nazanin"/>
        <scheme val="none"/>
      </font>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19" formatCode="m/d/yyyy"/>
      <alignment horizontal="center" vertical="center" textRotation="0" wrapText="0" indent="0" justifyLastLine="0" shrinkToFit="0" readingOrder="0"/>
    </dxf>
    <dxf>
      <font>
        <sz val="12"/>
        <name val="B Nazanin"/>
        <scheme val="none"/>
      </font>
      <numFmt numFmtId="169" formatCode="mm/dd/yyyy"/>
      <alignment horizontal="center" vertical="center" textRotation="0" wrapText="0" indent="0" justifyLastLine="0" shrinkToFit="0" readingOrder="0"/>
    </dxf>
    <dxf>
      <font>
        <b/>
        <i val="0"/>
        <strike val="0"/>
        <condense val="0"/>
        <extend val="0"/>
        <outline val="0"/>
        <shadow val="0"/>
        <u val="none"/>
        <vertAlign val="baseline"/>
        <sz val="12"/>
        <color auto="1"/>
        <name val="B Nazanin"/>
        <charset val="178"/>
        <scheme val="none"/>
      </font>
      <alignment horizontal="center" vertical="center" textRotation="0" wrapText="0" indent="0" justifyLastLine="0" shrinkToFit="0" readingOrder="0"/>
    </dxf>
    <dxf>
      <font>
        <b/>
        <sz val="12"/>
        <color auto="1"/>
        <name val="B Nazanin"/>
        <scheme val="none"/>
      </font>
      <alignment horizontal="center" vertical="center" textRotation="0" wrapText="0" indent="0" justifyLastLine="0" shrinkToFit="0" readingOrder="0"/>
    </dxf>
    <dxf>
      <alignment horizontal="center" vertical="center" textRotation="0" indent="0" justifyLastLine="0" shrinkToFit="0" readingOrder="0"/>
    </dxf>
    <dxf>
      <font>
        <b val="0"/>
        <i val="0"/>
        <strike val="0"/>
        <condense val="0"/>
        <extend val="0"/>
        <outline val="0"/>
        <shadow val="0"/>
        <u val="none"/>
        <vertAlign val="baseline"/>
        <sz val="12"/>
        <color rgb="FF000000"/>
        <name val="B Nazanin"/>
        <scheme val="none"/>
      </font>
      <numFmt numFmtId="166" formatCode="_-* #,##0_-;_-* #,##0\-;_-* &quot;-&quot;??_-;_-@_-"/>
      <alignment horizontal="center" vertical="center" textRotation="0" indent="0" justifyLastLine="0" shrinkToFit="0" readingOrder="0"/>
    </dxf>
    <dxf>
      <font>
        <b/>
        <i val="0"/>
        <strike val="0"/>
        <condense val="0"/>
        <extend val="0"/>
        <outline val="0"/>
        <shadow val="0"/>
        <u val="none"/>
        <vertAlign val="baseline"/>
        <sz val="12"/>
        <color auto="1"/>
        <name val="B Nazanin"/>
        <scheme val="none"/>
      </font>
      <numFmt numFmtId="166" formatCode="_-* #,##0_-;_-* #,##0\-;_-* &quot;-&quot;??_-;_-@_-"/>
      <alignment horizontal="center" vertical="center" textRotation="0" wrapText="0"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12"/>
        <color rgb="FF000000"/>
        <name val="B Nazanin"/>
        <scheme val="none"/>
      </font>
      <numFmt numFmtId="166" formatCode="_-* #,##0_-;_-* #,##0\-;_-* &quot;-&quot;??_-;_-@_-"/>
      <alignment horizontal="center" vertical="center" textRotation="0" indent="0" justifyLastLine="0" shrinkToFit="0" readingOrder="0"/>
    </dxf>
    <dxf>
      <font>
        <b val="0"/>
        <i val="0"/>
        <strike val="0"/>
        <condense val="0"/>
        <extend val="0"/>
        <outline val="0"/>
        <shadow val="0"/>
        <u val="none"/>
        <vertAlign val="baseline"/>
        <sz val="12"/>
        <color theme="1"/>
        <name val="B Nazanin"/>
        <charset val="178"/>
        <scheme val="none"/>
      </font>
      <numFmt numFmtId="166"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scheme val="none"/>
      </font>
      <numFmt numFmtId="166"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166"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3" formatCode="#,##0"/>
      <alignment horizontal="center" vertical="center" textRotation="0" wrapText="0" indent="0" justifyLastLine="0" shrinkToFit="0" readingOrder="0"/>
    </dxf>
    <dxf>
      <font>
        <sz val="12"/>
        <name val="B Nazanin"/>
        <scheme val="none"/>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3" formatCode="#,##0"/>
      <alignment horizontal="center" vertical="center" textRotation="0" wrapText="1" indent="0" justifyLastLine="0" shrinkToFit="0" readingOrder="0"/>
    </dxf>
    <dxf>
      <alignment horizontal="right" vertical="center" textRotation="0" wrapText="1" indent="0" justifyLastLine="0" shrinkToFit="0" readingOrder="0"/>
    </dxf>
    <dxf>
      <font>
        <b val="0"/>
        <i val="0"/>
        <strike val="0"/>
        <condense val="0"/>
        <extend val="0"/>
        <outline val="0"/>
        <shadow val="0"/>
        <u val="none"/>
        <vertAlign val="baseline"/>
        <sz val="12"/>
        <color theme="1"/>
        <name val="B Nazanin"/>
        <charset val="178"/>
        <scheme val="none"/>
      </font>
      <numFmt numFmtId="19" formatCode="m/d/yyyy"/>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scheme val="none"/>
      </font>
      <alignment horizontal="center" vertical="center" textRotation="0" wrapText="0" indent="0" justifyLastLine="0" shrinkToFit="0" readingOrder="0"/>
    </dxf>
    <dxf>
      <font>
        <b/>
        <i val="0"/>
        <strike val="0"/>
        <condense val="0"/>
        <extend val="0"/>
        <outline val="0"/>
        <shadow val="0"/>
        <u val="none"/>
        <vertAlign val="baseline"/>
        <sz val="12"/>
        <color auto="1"/>
        <name val="B Nazanin"/>
        <charset val="178"/>
        <scheme val="none"/>
      </font>
      <numFmt numFmtId="30" formatCode="@"/>
      <alignment horizontal="center" vertical="center" textRotation="0" wrapText="0" indent="0" justifyLastLine="0" shrinkToFit="0" readingOrder="0"/>
    </dxf>
    <dxf>
      <font>
        <b/>
        <sz val="12"/>
        <color auto="1"/>
        <name val="B Nazanin"/>
        <scheme val="none"/>
      </font>
      <numFmt numFmtId="30" formatCode="@"/>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19" formatCode="m/d/yyyy"/>
      <alignment horizontal="center" vertical="center" textRotation="0" wrapText="0" indent="0" justifyLastLine="0" shrinkToFit="0" readingOrder="0"/>
    </dxf>
    <dxf>
      <font>
        <sz val="12"/>
        <name val="B Nazanin"/>
        <scheme val="none"/>
      </font>
      <numFmt numFmtId="169" formatCode="mm/dd/yyyy"/>
      <alignment horizontal="center" vertical="center" textRotation="0" wrapText="0" indent="0" justifyLastLine="0" shrinkToFit="0" readingOrder="0"/>
    </dxf>
    <dxf>
      <font>
        <b/>
        <i val="0"/>
        <strike val="0"/>
        <condense val="0"/>
        <extend val="0"/>
        <outline val="0"/>
        <shadow val="0"/>
        <u val="none"/>
        <vertAlign val="baseline"/>
        <sz val="12"/>
        <color auto="1"/>
        <name val="B Nazanin"/>
        <charset val="178"/>
        <scheme val="none"/>
      </font>
      <alignment horizontal="center" vertical="center" textRotation="0" wrapText="0" indent="0" justifyLastLine="0" shrinkToFit="0" readingOrder="0"/>
    </dxf>
    <dxf>
      <font>
        <b/>
        <sz val="12"/>
        <color auto="1"/>
        <name val="B Nazanin"/>
        <scheme val="none"/>
      </font>
      <alignment horizontal="center" vertical="center" textRotation="0" wrapText="0" indent="0" justifyLastLine="0" shrinkToFit="0" readingOrder="0"/>
    </dxf>
    <dxf>
      <alignment horizontal="center" vertical="center" textRotation="0" indent="0" justifyLastLine="0" shrinkToFit="0" readingOrder="0"/>
    </dxf>
    <dxf>
      <font>
        <b val="0"/>
        <i val="0"/>
        <strike val="0"/>
        <condense val="0"/>
        <extend val="0"/>
        <outline val="0"/>
        <shadow val="0"/>
        <u val="none"/>
        <vertAlign val="baseline"/>
        <sz val="12"/>
        <color rgb="FF000000"/>
        <name val="B Nazanin"/>
        <scheme val="none"/>
      </font>
      <numFmt numFmtId="166" formatCode="_-* #,##0_-;_-* #,##0\-;_-* &quot;-&quot;??_-;_-@_-"/>
      <alignment horizontal="center" vertical="center" textRotation="0" indent="0" justifyLastLine="0" shrinkToFit="0" readingOrder="0"/>
    </dxf>
    <dxf>
      <font>
        <b/>
        <i val="0"/>
        <strike val="0"/>
        <condense val="0"/>
        <extend val="0"/>
        <outline val="0"/>
        <shadow val="0"/>
        <u val="none"/>
        <vertAlign val="baseline"/>
        <sz val="12"/>
        <color auto="1"/>
        <name val="B Nazanin"/>
        <scheme val="none"/>
      </font>
      <numFmt numFmtId="166" formatCode="_-* #,##0_-;_-* #,##0\-;_-* &quot;-&quot;??_-;_-@_-"/>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p\Finance\Adish%20Refinery\Adish%20Group\Japalaghi\&#1587;&#1575;&#1604;%20&#1605;&#1575;&#1604;&#1740;%201403\Bank\&#1605;&#1608;&#1580;&#1608;&#1583;&#1740;%20&#1576;&#1575;&#1606;&#1705;&#1607;&#1575;\&#1605;&#1608;&#1580;&#1608;&#1583;&#1610;%20&#1576;&#1575;&#1606;&#1603;&#1607;&#1575;%201401%20&#1570;&#1583;&#1740;&#1588;%202%20&#1606;&#1601;&#1585;&#1607;.xls" TargetMode="External"/><Relationship Id="rId1" Type="http://schemas.openxmlformats.org/officeDocument/2006/relationships/externalLinkPath" Target="/Adish%20Refinery/Adish%20Group/Japalaghi/&#1587;&#1575;&#1604;%20&#1605;&#1575;&#1604;&#1740;%201403/Bank/&#1605;&#1608;&#1580;&#1608;&#1583;&#1740;%20&#1576;&#1575;&#1606;&#1705;&#1607;&#1575;/&#1605;&#1608;&#1580;&#1608;&#1583;&#1610;%20&#1576;&#1575;&#1606;&#1603;&#1607;&#1575;%201401%20&#1570;&#1583;&#1740;&#1588;%202%20&#1606;&#1601;&#1585;&#16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japalaghi/Desktop/Professor-Excel-Tools.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اقتصاد 1-140372-800-135 "/>
      <sheetName val="اقتصاد 1-140372-843-110"/>
      <sheetName val="اقتصاد 1-140372-1-110 "/>
      <sheetName val="موجودی کلی بانکها"/>
      <sheetName val="وام غیر رسمی"/>
    </sheetNames>
    <sheetDataSet>
      <sheetData sheetId="0"/>
      <sheetData sheetId="1">
        <row r="460">
          <cell r="B460">
            <v>55867338</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rofessor-Excel-Tools"/>
    </sheetNames>
    <definedNames>
      <definedName name="abh"/>
    </definedNames>
    <sheetDataSet>
      <sheetData sheetId="0"/>
      <sheetData sheetId="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3E67DC1-5B92-412A-82EE-FA9FCC9CC4BB}" name="Table1456" displayName="Table1456" ref="A8:I156" totalsRowCount="1" headerRowDxfId="104" dataDxfId="103" totalsRowDxfId="102" headerRowCellStyle="Comma" dataCellStyle="Comma">
  <autoFilter ref="A8:I155" xr:uid="{00000000-0009-0000-0100-000001000000}"/>
  <sortState xmlns:xlrd2="http://schemas.microsoft.com/office/spreadsheetml/2017/richdata2" ref="A9:H9">
    <sortCondition ref="B9"/>
  </sortState>
  <tableColumns count="9">
    <tableColumn id="1" xr3:uid="{19075240-CF35-471C-887F-67E1C4A22655}" name="ردیف" totalsRowLabel="." dataDxfId="101" totalsRowDxfId="100"/>
    <tableColumn id="2" xr3:uid="{BB99FF6F-8846-48FA-8DA1-6F243005F436}" name="تاریخ" dataDxfId="99" totalsRowDxfId="98"/>
    <tableColumn id="3" xr3:uid="{67383BD6-2178-435A-9DD6-E85C347619F7}" name="شماره چک" dataDxfId="97" totalsRowDxfId="96"/>
    <tableColumn id="8" xr3:uid="{DCBA48BF-818E-4286-9746-B8BD37739D07}" name="در وجه" dataDxfId="95" totalsRowDxfId="94"/>
    <tableColumn id="4" xr3:uid="{9BB52662-22DC-4B7E-B076-6D7EFE661F81}" name="بابت" dataDxfId="93" totalsRowDxfId="92"/>
    <tableColumn id="5" xr3:uid="{91BAB19C-6331-4893-BFBD-E51566FD2FE2}" name="مبلغ ورود" totalsRowFunction="sum" dataDxfId="91" totalsRowDxfId="90" dataCellStyle="Comma">
      <calculatedColumnFormula>48778899246+50000000-4000000000</calculatedColumnFormula>
    </tableColumn>
    <tableColumn id="6" xr3:uid="{7FC8B857-174F-42ED-AA9C-D3DE49BA1C03}" name="مبلغ خروج" totalsRowFunction="sum" dataDxfId="89" totalsRowDxfId="88" dataCellStyle="Comma"/>
    <tableColumn id="7" xr3:uid="{E4FA85DE-C126-4991-B380-E68A70319D40}" name="مانده" dataDxfId="87" totalsRowDxfId="86" dataCellStyle="Comma"/>
    <tableColumn id="9" xr3:uid="{89314F2A-723A-4C24-BEE5-6CA5E2C266EA}" name="Column1" dataDxfId="85" totalsRowDxfId="84" dataCellStyle="Comma"/>
  </tableColumns>
  <tableStyleInfo name="TableStyleMedium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3" displayName="Table13" ref="A3:H901" totalsRowCount="1" headerRowDxfId="83" dataDxfId="82" totalsRowDxfId="81" headerRowCellStyle="Comma" dataCellStyle="Comma">
  <autoFilter ref="A3:H900" xr:uid="{00000000-0009-0000-0100-000002000000}"/>
  <sortState xmlns:xlrd2="http://schemas.microsoft.com/office/spreadsheetml/2017/richdata2" ref="A4:H13">
    <sortCondition ref="B4"/>
  </sortState>
  <tableColumns count="8">
    <tableColumn id="1" xr3:uid="{00000000-0010-0000-0000-000001000000}" name="ردیف" totalsRowLabel="." dataDxfId="80" totalsRowDxfId="79"/>
    <tableColumn id="2" xr3:uid="{00000000-0010-0000-0000-000002000000}" name="تاریخ" dataDxfId="78" totalsRowDxfId="77"/>
    <tableColumn id="3" xr3:uid="{00000000-0010-0000-0000-000003000000}" name="شماره چک" dataDxfId="76" totalsRowDxfId="75"/>
    <tableColumn id="8" xr3:uid="{00000000-0010-0000-0000-000008000000}" name="در وجه" dataDxfId="74" totalsRowDxfId="73"/>
    <tableColumn id="4" xr3:uid="{00000000-0010-0000-0000-000004000000}" name="بابت" dataDxfId="72" totalsRowDxfId="71"/>
    <tableColumn id="5" xr3:uid="{00000000-0010-0000-0000-000005000000}" name="مبلغ ورود" dataDxfId="70" totalsRowDxfId="69" dataCellStyle="Comma"/>
    <tableColumn id="6" xr3:uid="{00000000-0010-0000-0000-000006000000}" name="مبلغ خروج" dataDxfId="68" totalsRowDxfId="67" dataCellStyle="Comma"/>
    <tableColumn id="7" xr3:uid="{00000000-0010-0000-0000-000007000000}" name="مانده" dataDxfId="66" totalsRowDxfId="65" dataCellStyle="Comma"/>
  </tableColumns>
  <tableStyleInfo name="TableStyleMedium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A3:I703" totalsRowCount="1" headerRowDxfId="64" dataDxfId="63" totalsRowDxfId="62" headerRowCellStyle="Comma" dataCellStyle="Comma">
  <autoFilter ref="A3:I702" xr:uid="{00000000-0009-0000-0100-000001000000}"/>
  <sortState xmlns:xlrd2="http://schemas.microsoft.com/office/spreadsheetml/2017/richdata2" ref="A4:H4">
    <sortCondition ref="B4"/>
  </sortState>
  <tableColumns count="9">
    <tableColumn id="1" xr3:uid="{00000000-0010-0000-0100-000001000000}" name="ردیف" totalsRowLabel="." dataDxfId="61" totalsRowDxfId="60"/>
    <tableColumn id="2" xr3:uid="{00000000-0010-0000-0100-000002000000}" name="تاریخ" dataDxfId="59" totalsRowDxfId="58"/>
    <tableColumn id="3" xr3:uid="{00000000-0010-0000-0100-000003000000}" name="شماره چک" dataDxfId="57" totalsRowDxfId="56"/>
    <tableColumn id="8" xr3:uid="{00000000-0010-0000-0100-000008000000}" name="در وجه" dataDxfId="55" totalsRowDxfId="54"/>
    <tableColumn id="4" xr3:uid="{00000000-0010-0000-0100-000004000000}" name="بابت" dataDxfId="53" totalsRowDxfId="52"/>
    <tableColumn id="5" xr3:uid="{00000000-0010-0000-0100-000005000000}" name="مبلغ ورود" totalsRowFunction="sum" dataDxfId="51" totalsRowDxfId="50" dataCellStyle="Comma">
      <calculatedColumnFormula>48778899246+50000000-4000000000</calculatedColumnFormula>
    </tableColumn>
    <tableColumn id="6" xr3:uid="{00000000-0010-0000-0100-000006000000}" name="مبلغ خروج" totalsRowFunction="sum" dataDxfId="49" totalsRowDxfId="48" dataCellStyle="Comma"/>
    <tableColumn id="7" xr3:uid="{00000000-0010-0000-0100-000007000000}" name="مانده" dataDxfId="47" totalsRowDxfId="46" dataCellStyle="Comma"/>
    <tableColumn id="9" xr3:uid="{7AD305E9-7215-4C94-8517-E314C35B1B90}" name="Column1" dataDxfId="45" totalsRowDxfId="44" dataCellStyle="Comma"/>
  </tableColumns>
  <tableStyleInfo name="TableStyleMedium1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D32CE51-F8B8-47BA-80C0-AB7E52841D1F}" name="Table14" displayName="Table14" ref="A3:J453" totalsRowCount="1" headerRowDxfId="43" dataDxfId="42" totalsRowDxfId="41" headerRowCellStyle="Comma" dataCellStyle="Comma">
  <autoFilter ref="A3:J452" xr:uid="{00000000-0009-0000-0100-000001000000}"/>
  <sortState xmlns:xlrd2="http://schemas.microsoft.com/office/spreadsheetml/2017/richdata2" ref="A4:I4">
    <sortCondition ref="B4"/>
  </sortState>
  <tableColumns count="10">
    <tableColumn id="1" xr3:uid="{D176B182-1AA7-4194-99D4-E98705B2739B}" name="ردیف" totalsRowLabel="." dataDxfId="40" totalsRowDxfId="39"/>
    <tableColumn id="2" xr3:uid="{CD5EB36E-4F62-4380-9AB7-025FD5CEFFB7}" name="تاریخ" dataDxfId="38" totalsRowDxfId="37"/>
    <tableColumn id="3" xr3:uid="{4BE166EE-72CB-4EA6-8710-676447F98B01}" name="شماره چک" dataDxfId="36" totalsRowDxfId="35"/>
    <tableColumn id="8" xr3:uid="{D52EB6BD-62F2-4F1D-AE47-9042B34020D7}" name="در وجه" dataDxfId="34" totalsRowDxfId="33"/>
    <tableColumn id="10" xr3:uid="{E6ACB860-06B2-4578-B8A1-F897E9E58CA3}" name="Column2" dataDxfId="32" totalsRowDxfId="31"/>
    <tableColumn id="4" xr3:uid="{FBDD6758-D336-4E6D-8B1F-B4F8C759ADC9}" name="بابت" dataDxfId="30" totalsRowDxfId="29"/>
    <tableColumn id="5" xr3:uid="{8DA5FEF3-49F6-41A3-A942-8C3B113DBC7B}" name="مبلغ ورود" totalsRowFunction="sum" dataDxfId="28" totalsRowDxfId="27" dataCellStyle="Comma">
      <calculatedColumnFormula>48778899246+50000000-4000000000</calculatedColumnFormula>
    </tableColumn>
    <tableColumn id="6" xr3:uid="{CCD828D2-B2FE-4A87-AA08-198BF6EDFCC1}" name="مبلغ خروج" totalsRowFunction="sum" dataDxfId="26" totalsRowDxfId="25" dataCellStyle="Comma"/>
    <tableColumn id="7" xr3:uid="{BCE15CBB-0D5A-43A3-9C5F-B5A59E03A317}" name="مانده" dataDxfId="24" totalsRowDxfId="23" dataCellStyle="Comma"/>
    <tableColumn id="9" xr3:uid="{52B496EB-E9BE-48D6-A50D-7C05D5711B14}" name="Column1" dataDxfId="22" totalsRowDxfId="21" dataCellStyle="Comma"/>
  </tableColumns>
  <tableStyleInfo name="TableStyleMedium1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666A736-8361-41DD-872B-3168EADB49A6}" name="Table145" displayName="Table145" ref="A3:I299" totalsRowCount="1" headerRowDxfId="11" dataDxfId="10" totalsRowDxfId="9" headerRowCellStyle="Comma" dataCellStyle="Comma">
  <autoFilter ref="A3:I298" xr:uid="{00000000-0009-0000-0100-000001000000}"/>
  <sortState xmlns:xlrd2="http://schemas.microsoft.com/office/spreadsheetml/2017/richdata2" ref="A4:I4">
    <sortCondition ref="B4"/>
  </sortState>
  <tableColumns count="9">
    <tableColumn id="1" xr3:uid="{D57B99BE-6082-425C-BD04-649676D0B646}" name="ردیف" totalsRowLabel="." dataDxfId="20" totalsRowDxfId="8"/>
    <tableColumn id="2" xr3:uid="{F2A7C688-648F-4337-A2C0-EAB9C4075411}" name="تاریخ" dataDxfId="19" totalsRowDxfId="7"/>
    <tableColumn id="3" xr3:uid="{083672D0-81B0-4D2D-9160-CF8F2DDD7852}" name="شماره چک" dataDxfId="18" totalsRowDxfId="6"/>
    <tableColumn id="8" xr3:uid="{06AEDDAC-5D16-4780-AE2C-F7479A72C2DF}" name="در وجه" dataDxfId="17" totalsRowDxfId="5"/>
    <tableColumn id="10" xr3:uid="{9973EC53-EF20-4D8D-9DD4-ADE9416F0242}" name="Column2" dataDxfId="16" totalsRowDxfId="4"/>
    <tableColumn id="4" xr3:uid="{347BDA5D-6379-43F2-A633-D327A1476E37}" name="بابت" dataDxfId="15" totalsRowDxfId="3"/>
    <tableColumn id="5" xr3:uid="{31229C64-DADA-45D2-89C2-57CF54D3EF2D}" name="مبلغ ورود" totalsRowFunction="sum" dataDxfId="14" totalsRowDxfId="2" dataCellStyle="Comma">
      <calculatedColumnFormula>48778899246+50000000-4000000000</calculatedColumnFormula>
    </tableColumn>
    <tableColumn id="6" xr3:uid="{E50DA7C1-EBBA-4383-BDE4-B7DA79968209}" name="مبلغ خروج" totalsRowFunction="sum" dataDxfId="13" totalsRowDxfId="1" dataCellStyle="Comma"/>
    <tableColumn id="7" xr3:uid="{2AAAD60F-B60D-4E68-90EC-B2EFCEC2DFFC}" name="مانده" dataDxfId="12" totalsRowDxfId="0" dataCellStyle="Comma"/>
  </tableColumns>
  <tableStyleInfo name="TableStyleMedium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2FB78-E866-4B54-BF5E-7BBE65622B46}">
  <sheetPr>
    <tabColor theme="9" tint="-0.499984740745262"/>
  </sheetPr>
  <dimension ref="A1:I159"/>
  <sheetViews>
    <sheetView rightToLeft="1" view="pageBreakPreview" topLeftCell="A129" zoomScale="98" zoomScaleNormal="100" zoomScaleSheetLayoutView="98" workbookViewId="0">
      <selection activeCell="G147" sqref="G147"/>
    </sheetView>
  </sheetViews>
  <sheetFormatPr defaultColWidth="9.140625" defaultRowHeight="18.75"/>
  <cols>
    <col min="1" max="1" width="5.42578125" style="19" customWidth="1"/>
    <col min="2" max="2" width="13.28515625" style="19" customWidth="1"/>
    <col min="3" max="3" width="16" style="274" bestFit="1" customWidth="1"/>
    <col min="4" max="4" width="16.42578125" style="19" customWidth="1"/>
    <col min="5" max="5" width="117" style="19" customWidth="1"/>
    <col min="6" max="6" width="11" style="73" customWidth="1"/>
    <col min="7" max="7" width="19.5703125" style="20" bestFit="1" customWidth="1"/>
    <col min="8" max="8" width="20.28515625" style="20" customWidth="1"/>
    <col min="9" max="9" width="25.85546875" style="19" customWidth="1"/>
    <col min="10" max="16384" width="9.140625" style="19"/>
  </cols>
  <sheetData>
    <row r="1" spans="1:9" ht="21">
      <c r="A1" s="435" t="s">
        <v>6</v>
      </c>
      <c r="B1" s="435"/>
      <c r="C1" s="435"/>
      <c r="D1" s="435"/>
      <c r="E1" s="435"/>
      <c r="F1" s="435"/>
      <c r="G1" s="435"/>
      <c r="H1" s="435"/>
    </row>
    <row r="2" spans="1:9" ht="21">
      <c r="A2" s="435" t="s">
        <v>2556</v>
      </c>
      <c r="B2" s="435"/>
      <c r="C2" s="435"/>
      <c r="D2" s="435"/>
      <c r="E2" s="435"/>
      <c r="F2" s="435"/>
      <c r="G2" s="435"/>
      <c r="H2" s="435"/>
    </row>
    <row r="8" spans="1:9" ht="21">
      <c r="A8" s="1" t="s">
        <v>0</v>
      </c>
      <c r="B8" s="1" t="s">
        <v>1</v>
      </c>
      <c r="C8" s="317" t="s">
        <v>2</v>
      </c>
      <c r="D8" s="1" t="s">
        <v>18</v>
      </c>
      <c r="E8" s="1" t="s">
        <v>19</v>
      </c>
      <c r="F8" s="71" t="s">
        <v>3</v>
      </c>
      <c r="G8" s="2" t="s">
        <v>4</v>
      </c>
      <c r="H8" s="2" t="s">
        <v>5</v>
      </c>
      <c r="I8" s="381" t="s">
        <v>1477</v>
      </c>
    </row>
    <row r="9" spans="1:9" ht="21">
      <c r="A9" s="1">
        <v>1</v>
      </c>
      <c r="B9" s="1"/>
      <c r="C9" s="317"/>
      <c r="E9" s="74" t="s">
        <v>2414</v>
      </c>
      <c r="I9" s="380"/>
    </row>
    <row r="10" spans="1:9" ht="21">
      <c r="A10" s="1">
        <v>2</v>
      </c>
      <c r="B10" s="1" t="s">
        <v>2555</v>
      </c>
      <c r="C10" s="317" t="s">
        <v>1916</v>
      </c>
      <c r="D10" s="74" t="s">
        <v>938</v>
      </c>
      <c r="E10" s="74" t="s">
        <v>2554</v>
      </c>
      <c r="F10" s="20"/>
      <c r="G10" s="20">
        <v>15000000</v>
      </c>
      <c r="H10" s="20">
        <f>H9+Table1456[[#This Row],[مبلغ ورود]]-Table1456[[#This Row],[مبلغ خروج]]</f>
        <v>-15000000</v>
      </c>
      <c r="I10" s="380"/>
    </row>
    <row r="11" spans="1:9" ht="21">
      <c r="A11" s="1">
        <v>5</v>
      </c>
      <c r="B11" s="1" t="s">
        <v>2574</v>
      </c>
      <c r="C11" s="317" t="s">
        <v>2576</v>
      </c>
      <c r="D11" s="74" t="s">
        <v>938</v>
      </c>
      <c r="E11" s="74" t="s">
        <v>2575</v>
      </c>
      <c r="F11" s="253"/>
      <c r="G11" s="20">
        <v>78750000</v>
      </c>
      <c r="I11" s="380"/>
    </row>
    <row r="12" spans="1:9" ht="21">
      <c r="A12" s="1">
        <v>8</v>
      </c>
      <c r="B12" s="1" t="s">
        <v>2617</v>
      </c>
      <c r="C12" s="317" t="s">
        <v>1916</v>
      </c>
      <c r="D12" s="74" t="s">
        <v>938</v>
      </c>
      <c r="E12" s="74" t="s">
        <v>3031</v>
      </c>
      <c r="F12" s="20"/>
      <c r="G12" s="20">
        <v>200000000</v>
      </c>
      <c r="I12" s="380"/>
    </row>
    <row r="13" spans="1:9" ht="21">
      <c r="A13" s="1">
        <v>11</v>
      </c>
      <c r="B13" s="261" t="s">
        <v>2716</v>
      </c>
      <c r="C13" s="317" t="s">
        <v>1916</v>
      </c>
      <c r="D13" s="74" t="s">
        <v>938</v>
      </c>
      <c r="E13" s="74" t="s">
        <v>2730</v>
      </c>
      <c r="F13" s="326"/>
      <c r="G13" s="20">
        <v>15750000</v>
      </c>
      <c r="I13" s="380"/>
    </row>
    <row r="14" spans="1:9" ht="21">
      <c r="A14" s="1">
        <v>14</v>
      </c>
      <c r="B14" s="261" t="s">
        <v>2716</v>
      </c>
      <c r="C14" s="317" t="s">
        <v>1916</v>
      </c>
      <c r="D14" s="74" t="s">
        <v>938</v>
      </c>
      <c r="E14" s="74" t="s">
        <v>2731</v>
      </c>
      <c r="F14" s="326"/>
      <c r="G14" s="20">
        <v>7000000</v>
      </c>
      <c r="I14" s="380"/>
    </row>
    <row r="15" spans="1:9" ht="21">
      <c r="A15" s="1">
        <v>15</v>
      </c>
      <c r="B15" s="261" t="s">
        <v>2716</v>
      </c>
      <c r="C15" s="317" t="s">
        <v>2595</v>
      </c>
      <c r="D15" s="74" t="s">
        <v>938</v>
      </c>
      <c r="E15" s="74" t="s">
        <v>2732</v>
      </c>
      <c r="F15" s="327"/>
      <c r="G15" s="20">
        <v>85000000</v>
      </c>
      <c r="I15" s="380"/>
    </row>
    <row r="16" spans="1:9" ht="37.5">
      <c r="A16" s="1">
        <v>16</v>
      </c>
      <c r="B16" s="261" t="s">
        <v>2781</v>
      </c>
      <c r="C16" s="317" t="s">
        <v>2576</v>
      </c>
      <c r="D16" s="74" t="s">
        <v>938</v>
      </c>
      <c r="E16" s="74" t="s">
        <v>3032</v>
      </c>
      <c r="F16" s="219"/>
      <c r="G16" s="20">
        <v>15000000</v>
      </c>
      <c r="I16" s="380"/>
    </row>
    <row r="17" spans="1:9" ht="21">
      <c r="A17" s="1">
        <v>17</v>
      </c>
      <c r="B17" s="261" t="s">
        <v>2784</v>
      </c>
      <c r="C17" s="317" t="s">
        <v>2595</v>
      </c>
      <c r="D17" s="74" t="s">
        <v>938</v>
      </c>
      <c r="E17" s="197" t="s">
        <v>3004</v>
      </c>
      <c r="F17" s="219"/>
      <c r="G17" s="20">
        <v>1888639751</v>
      </c>
      <c r="I17" s="380"/>
    </row>
    <row r="18" spans="1:9" ht="21">
      <c r="A18" s="1">
        <v>18</v>
      </c>
      <c r="B18" s="261" t="s">
        <v>2784</v>
      </c>
      <c r="C18" s="317" t="s">
        <v>2595</v>
      </c>
      <c r="D18" s="74" t="s">
        <v>938</v>
      </c>
      <c r="E18" s="197" t="s">
        <v>3033</v>
      </c>
      <c r="F18" s="219"/>
      <c r="G18" s="20">
        <v>8000000</v>
      </c>
      <c r="I18" s="380"/>
    </row>
    <row r="19" spans="1:9" ht="21">
      <c r="A19" s="1">
        <v>19</v>
      </c>
      <c r="B19" s="261" t="s">
        <v>2811</v>
      </c>
      <c r="C19" s="317" t="s">
        <v>2595</v>
      </c>
      <c r="D19" s="74" t="s">
        <v>938</v>
      </c>
      <c r="E19" s="197" t="s">
        <v>3026</v>
      </c>
      <c r="F19" s="219"/>
      <c r="G19" s="20">
        <v>70202124</v>
      </c>
      <c r="I19" s="380"/>
    </row>
    <row r="20" spans="1:9" ht="21">
      <c r="A20" s="1">
        <v>20</v>
      </c>
      <c r="B20" s="261" t="s">
        <v>2812</v>
      </c>
      <c r="C20" s="317" t="s">
        <v>2595</v>
      </c>
      <c r="D20" s="74" t="s">
        <v>938</v>
      </c>
      <c r="E20" s="197" t="s">
        <v>3027</v>
      </c>
      <c r="F20" s="364"/>
      <c r="G20" s="20">
        <v>15000000</v>
      </c>
      <c r="I20" s="380"/>
    </row>
    <row r="21" spans="1:9" ht="21">
      <c r="A21" s="1">
        <v>21</v>
      </c>
      <c r="B21" s="261" t="s">
        <v>2842</v>
      </c>
      <c r="C21" s="317" t="s">
        <v>1916</v>
      </c>
      <c r="D21" s="74" t="s">
        <v>938</v>
      </c>
      <c r="E21" s="197" t="s">
        <v>3030</v>
      </c>
      <c r="F21" s="219"/>
      <c r="G21" s="20">
        <v>2093532661</v>
      </c>
      <c r="I21" s="380"/>
    </row>
    <row r="22" spans="1:9" ht="21">
      <c r="A22" s="1">
        <v>22</v>
      </c>
      <c r="B22" s="261" t="s">
        <v>2842</v>
      </c>
      <c r="C22" s="317" t="s">
        <v>1916</v>
      </c>
      <c r="D22" s="74" t="s">
        <v>938</v>
      </c>
      <c r="E22" s="197" t="s">
        <v>3029</v>
      </c>
      <c r="F22" s="219"/>
      <c r="G22" s="20">
        <v>3396312589</v>
      </c>
      <c r="I22" s="380"/>
    </row>
    <row r="23" spans="1:9" ht="21">
      <c r="A23" s="1">
        <v>30</v>
      </c>
      <c r="B23" s="261" t="s">
        <v>3035</v>
      </c>
      <c r="C23" s="317" t="s">
        <v>1916</v>
      </c>
      <c r="D23" s="19" t="s">
        <v>938</v>
      </c>
      <c r="E23" s="197" t="s">
        <v>3036</v>
      </c>
      <c r="F23" s="219"/>
      <c r="G23" s="20">
        <v>192000000</v>
      </c>
      <c r="I23" s="382"/>
    </row>
    <row r="24" spans="1:9" ht="37.5">
      <c r="A24" s="1">
        <v>34</v>
      </c>
      <c r="B24" s="261" t="s">
        <v>3038</v>
      </c>
      <c r="C24" s="317" t="s">
        <v>2576</v>
      </c>
      <c r="D24" s="19" t="s">
        <v>938</v>
      </c>
      <c r="E24" s="197" t="s">
        <v>3039</v>
      </c>
      <c r="F24" s="384"/>
      <c r="G24" s="20">
        <v>238000000</v>
      </c>
      <c r="I24" s="385"/>
    </row>
    <row r="25" spans="1:9" ht="37.5">
      <c r="A25" s="383">
        <v>37</v>
      </c>
      <c r="B25" s="261" t="s">
        <v>3040</v>
      </c>
      <c r="C25" s="317" t="s">
        <v>1916</v>
      </c>
      <c r="D25" s="19" t="s">
        <v>938</v>
      </c>
      <c r="E25" s="197" t="s">
        <v>3041</v>
      </c>
      <c r="F25" s="384"/>
      <c r="G25" s="20">
        <v>52083333</v>
      </c>
      <c r="I25" s="385"/>
    </row>
    <row r="26" spans="1:9" ht="37.5">
      <c r="A26" s="383">
        <v>38</v>
      </c>
      <c r="B26" s="261" t="s">
        <v>3040</v>
      </c>
      <c r="C26" s="317" t="s">
        <v>2595</v>
      </c>
      <c r="D26" s="19" t="s">
        <v>938</v>
      </c>
      <c r="E26" s="197" t="s">
        <v>3042</v>
      </c>
      <c r="F26" s="384"/>
      <c r="G26" s="20">
        <f>40000000+40000000</f>
        <v>80000000</v>
      </c>
      <c r="I26" s="385"/>
    </row>
    <row r="27" spans="1:9" ht="21">
      <c r="A27" s="383">
        <v>39</v>
      </c>
      <c r="B27" s="261" t="s">
        <v>3043</v>
      </c>
      <c r="C27" s="317" t="s">
        <v>2595</v>
      </c>
      <c r="D27" s="19" t="s">
        <v>938</v>
      </c>
      <c r="E27" s="197" t="s">
        <v>3045</v>
      </c>
      <c r="F27" s="384"/>
      <c r="G27" s="20">
        <v>300000000</v>
      </c>
      <c r="I27" s="385"/>
    </row>
    <row r="28" spans="1:9" ht="37.5">
      <c r="A28" s="383">
        <v>42</v>
      </c>
      <c r="B28" s="261" t="s">
        <v>3043</v>
      </c>
      <c r="C28" s="317" t="s">
        <v>2576</v>
      </c>
      <c r="D28" s="19" t="s">
        <v>938</v>
      </c>
      <c r="E28" s="74" t="s">
        <v>3044</v>
      </c>
      <c r="G28" s="20">
        <v>158000055</v>
      </c>
      <c r="I28" s="380"/>
    </row>
    <row r="29" spans="1:9" ht="21">
      <c r="A29" s="1">
        <v>43</v>
      </c>
      <c r="B29" s="261" t="s">
        <v>3047</v>
      </c>
      <c r="C29" s="317" t="s">
        <v>2576</v>
      </c>
      <c r="D29" s="19" t="s">
        <v>938</v>
      </c>
      <c r="E29" s="74" t="s">
        <v>3048</v>
      </c>
      <c r="G29" s="20">
        <v>3186588280</v>
      </c>
      <c r="I29" s="380"/>
    </row>
    <row r="30" spans="1:9" ht="21">
      <c r="A30" s="1">
        <v>44</v>
      </c>
      <c r="B30" s="261" t="s">
        <v>3049</v>
      </c>
      <c r="C30" s="317" t="s">
        <v>2576</v>
      </c>
      <c r="D30" s="19" t="s">
        <v>938</v>
      </c>
      <c r="E30" s="74" t="s">
        <v>3050</v>
      </c>
      <c r="G30" s="20">
        <v>185000000</v>
      </c>
      <c r="I30" s="380"/>
    </row>
    <row r="31" spans="1:9" ht="21">
      <c r="A31" s="1">
        <v>49</v>
      </c>
      <c r="B31" s="261" t="s">
        <v>3051</v>
      </c>
      <c r="C31" s="317" t="s">
        <v>2576</v>
      </c>
      <c r="D31" s="350" t="s">
        <v>938</v>
      </c>
      <c r="E31" s="197" t="s">
        <v>3052</v>
      </c>
      <c r="F31" s="389"/>
      <c r="G31" s="20">
        <v>118453000</v>
      </c>
      <c r="H31" s="390"/>
      <c r="I31" s="391"/>
    </row>
    <row r="32" spans="1:9" ht="21">
      <c r="A32" s="1">
        <v>53</v>
      </c>
      <c r="B32" s="261" t="s">
        <v>3054</v>
      </c>
      <c r="C32" s="317" t="s">
        <v>2576</v>
      </c>
      <c r="D32" s="350" t="s">
        <v>938</v>
      </c>
      <c r="E32" s="197" t="s">
        <v>3053</v>
      </c>
      <c r="G32" s="20">
        <v>108333333</v>
      </c>
      <c r="I32" s="380"/>
    </row>
    <row r="33" spans="1:9" ht="21">
      <c r="A33" s="1">
        <v>54</v>
      </c>
      <c r="B33" s="261" t="s">
        <v>3054</v>
      </c>
      <c r="C33" s="317" t="s">
        <v>2576</v>
      </c>
      <c r="D33" s="350" t="s">
        <v>938</v>
      </c>
      <c r="E33" s="74" t="s">
        <v>3055</v>
      </c>
      <c r="G33" s="20">
        <v>350000000</v>
      </c>
      <c r="I33" s="380"/>
    </row>
    <row r="34" spans="1:9" ht="21">
      <c r="A34" s="1">
        <v>55</v>
      </c>
      <c r="B34" s="261" t="s">
        <v>3054</v>
      </c>
      <c r="C34" s="317" t="s">
        <v>2576</v>
      </c>
      <c r="D34" s="350" t="s">
        <v>938</v>
      </c>
      <c r="E34" s="74" t="s">
        <v>3056</v>
      </c>
      <c r="G34" s="20">
        <v>350000000</v>
      </c>
      <c r="I34" s="380"/>
    </row>
    <row r="35" spans="1:9" ht="21">
      <c r="A35" s="1">
        <v>56</v>
      </c>
      <c r="B35" s="261" t="s">
        <v>3054</v>
      </c>
      <c r="C35" s="317" t="s">
        <v>2595</v>
      </c>
      <c r="D35" s="350" t="s">
        <v>938</v>
      </c>
      <c r="E35" s="197" t="s">
        <v>3057</v>
      </c>
      <c r="G35" s="20">
        <v>100000000</v>
      </c>
      <c r="I35" s="380"/>
    </row>
    <row r="36" spans="1:9" ht="21">
      <c r="A36" s="1">
        <v>57</v>
      </c>
      <c r="B36" s="261" t="s">
        <v>3059</v>
      </c>
      <c r="C36" s="317" t="s">
        <v>2576</v>
      </c>
      <c r="D36" s="350" t="s">
        <v>938</v>
      </c>
      <c r="E36" s="74" t="s">
        <v>3058</v>
      </c>
      <c r="G36" s="20">
        <v>120000000</v>
      </c>
      <c r="I36" s="380"/>
    </row>
    <row r="37" spans="1:9" ht="21">
      <c r="A37" s="1">
        <v>58</v>
      </c>
      <c r="B37" s="261" t="s">
        <v>3061</v>
      </c>
      <c r="C37" s="317" t="s">
        <v>2595</v>
      </c>
      <c r="D37" s="350" t="s">
        <v>938</v>
      </c>
      <c r="E37" s="197" t="s">
        <v>3060</v>
      </c>
      <c r="G37" s="20">
        <v>483600242</v>
      </c>
      <c r="I37" s="380"/>
    </row>
    <row r="38" spans="1:9" ht="21">
      <c r="A38" s="1">
        <v>63</v>
      </c>
      <c r="B38" s="261" t="s">
        <v>3062</v>
      </c>
      <c r="C38" s="317" t="s">
        <v>2576</v>
      </c>
      <c r="D38" s="350" t="s">
        <v>938</v>
      </c>
      <c r="E38" s="197" t="s">
        <v>3063</v>
      </c>
      <c r="F38" s="389"/>
      <c r="G38" s="20">
        <v>252698525</v>
      </c>
      <c r="H38" s="390"/>
      <c r="I38" s="391"/>
    </row>
    <row r="39" spans="1:9" ht="21">
      <c r="A39" s="1">
        <v>64</v>
      </c>
      <c r="B39" s="261" t="s">
        <v>3064</v>
      </c>
      <c r="C39" s="317" t="s">
        <v>2595</v>
      </c>
      <c r="D39" s="350" t="s">
        <v>938</v>
      </c>
      <c r="E39" s="197" t="s">
        <v>3065</v>
      </c>
      <c r="F39" s="389"/>
      <c r="G39" s="20">
        <v>61031250</v>
      </c>
      <c r="H39" s="390"/>
      <c r="I39" s="391"/>
    </row>
    <row r="40" spans="1:9" ht="21">
      <c r="A40" s="1">
        <v>65</v>
      </c>
      <c r="B40" s="261" t="s">
        <v>3067</v>
      </c>
      <c r="C40" s="317" t="s">
        <v>2595</v>
      </c>
      <c r="D40" s="350" t="s">
        <v>938</v>
      </c>
      <c r="E40" s="197" t="s">
        <v>3066</v>
      </c>
      <c r="F40" s="389"/>
      <c r="G40" s="20">
        <v>117225922</v>
      </c>
      <c r="H40" s="390"/>
      <c r="I40" s="391"/>
    </row>
    <row r="41" spans="1:9" ht="21">
      <c r="A41" s="386">
        <v>66</v>
      </c>
      <c r="B41" s="261" t="s">
        <v>3069</v>
      </c>
      <c r="C41" s="317" t="s">
        <v>2595</v>
      </c>
      <c r="D41" s="350" t="s">
        <v>938</v>
      </c>
      <c r="E41" s="197" t="s">
        <v>3068</v>
      </c>
      <c r="F41" s="389"/>
      <c r="G41" s="20">
        <v>20000000</v>
      </c>
      <c r="H41" s="390"/>
      <c r="I41" s="391"/>
    </row>
    <row r="42" spans="1:9" ht="37.5">
      <c r="A42" s="392">
        <v>68</v>
      </c>
      <c r="B42" s="261" t="s">
        <v>3071</v>
      </c>
      <c r="C42" s="317" t="s">
        <v>2576</v>
      </c>
      <c r="D42" s="350" t="s">
        <v>938</v>
      </c>
      <c r="E42" s="197" t="s">
        <v>3070</v>
      </c>
      <c r="F42" s="393"/>
      <c r="G42" s="20">
        <v>510000000</v>
      </c>
      <c r="H42" s="394"/>
      <c r="I42" s="395"/>
    </row>
    <row r="43" spans="1:9" ht="21">
      <c r="A43" s="392">
        <v>71</v>
      </c>
      <c r="B43" s="261" t="s">
        <v>3071</v>
      </c>
      <c r="C43" s="317" t="s">
        <v>2595</v>
      </c>
      <c r="D43" s="350" t="s">
        <v>938</v>
      </c>
      <c r="E43" s="74" t="s">
        <v>3072</v>
      </c>
      <c r="F43" s="393"/>
      <c r="G43" s="20">
        <v>81179980</v>
      </c>
      <c r="H43" s="394"/>
      <c r="I43" s="395"/>
    </row>
    <row r="44" spans="1:9" ht="21">
      <c r="A44" s="392">
        <v>72</v>
      </c>
      <c r="B44" s="261" t="s">
        <v>3073</v>
      </c>
      <c r="C44" s="317" t="s">
        <v>2595</v>
      </c>
      <c r="D44" s="350" t="s">
        <v>938</v>
      </c>
      <c r="E44" s="74" t="s">
        <v>3074</v>
      </c>
      <c r="F44" s="393"/>
      <c r="G44" s="20">
        <v>51999984</v>
      </c>
      <c r="H44" s="394"/>
      <c r="I44" s="395"/>
    </row>
    <row r="45" spans="1:9" ht="21">
      <c r="A45" s="392">
        <v>73</v>
      </c>
      <c r="B45" s="261" t="s">
        <v>3075</v>
      </c>
      <c r="C45" s="317" t="s">
        <v>2595</v>
      </c>
      <c r="D45" s="350" t="s">
        <v>938</v>
      </c>
      <c r="E45" s="74" t="s">
        <v>3076</v>
      </c>
      <c r="F45" s="393"/>
      <c r="G45" s="20">
        <v>205200000</v>
      </c>
      <c r="H45" s="394"/>
      <c r="I45" s="395"/>
    </row>
    <row r="46" spans="1:9" ht="21">
      <c r="A46" s="392">
        <v>74</v>
      </c>
      <c r="B46" s="261" t="s">
        <v>3078</v>
      </c>
      <c r="C46" s="317" t="s">
        <v>2595</v>
      </c>
      <c r="D46" s="350" t="s">
        <v>938</v>
      </c>
      <c r="E46" s="197" t="s">
        <v>3077</v>
      </c>
      <c r="F46" s="393"/>
      <c r="G46" s="20">
        <v>6000000</v>
      </c>
      <c r="H46" s="394"/>
      <c r="I46" s="395"/>
    </row>
    <row r="47" spans="1:9" ht="37.5">
      <c r="A47" s="392">
        <v>78</v>
      </c>
      <c r="B47" s="261" t="s">
        <v>3079</v>
      </c>
      <c r="C47" s="317" t="s">
        <v>2576</v>
      </c>
      <c r="D47" s="350" t="s">
        <v>938</v>
      </c>
      <c r="E47" s="197" t="s">
        <v>3080</v>
      </c>
      <c r="F47" s="393"/>
      <c r="G47" s="20">
        <v>1300000000</v>
      </c>
      <c r="H47" s="394"/>
      <c r="I47" s="395"/>
    </row>
    <row r="48" spans="1:9" ht="21">
      <c r="A48" s="386">
        <v>79</v>
      </c>
      <c r="B48" s="261" t="s">
        <v>3081</v>
      </c>
      <c r="C48" s="317" t="s">
        <v>2595</v>
      </c>
      <c r="D48" s="350" t="s">
        <v>938</v>
      </c>
      <c r="E48" s="197" t="s">
        <v>3082</v>
      </c>
      <c r="F48" s="389"/>
      <c r="G48" s="20">
        <v>6000000</v>
      </c>
      <c r="H48" s="390"/>
      <c r="I48" s="391"/>
    </row>
    <row r="49" spans="1:9" ht="21">
      <c r="A49" s="386">
        <v>81</v>
      </c>
      <c r="B49" s="261" t="s">
        <v>3083</v>
      </c>
      <c r="C49" s="317" t="s">
        <v>2576</v>
      </c>
      <c r="D49" s="350" t="s">
        <v>938</v>
      </c>
      <c r="E49" s="197" t="s">
        <v>3084</v>
      </c>
      <c r="F49" s="400"/>
      <c r="G49" s="20">
        <v>1500000000</v>
      </c>
      <c r="H49" s="401"/>
      <c r="I49" s="402"/>
    </row>
    <row r="50" spans="1:9" ht="21">
      <c r="A50" s="386">
        <v>82</v>
      </c>
      <c r="B50" s="261" t="s">
        <v>3085</v>
      </c>
      <c r="C50" s="317" t="s">
        <v>2595</v>
      </c>
      <c r="D50" s="350" t="s">
        <v>938</v>
      </c>
      <c r="E50" s="197" t="s">
        <v>3086</v>
      </c>
      <c r="F50" s="400"/>
      <c r="G50" s="20">
        <v>4741239883</v>
      </c>
      <c r="H50" s="401"/>
      <c r="I50" s="402"/>
    </row>
    <row r="51" spans="1:9" ht="21">
      <c r="A51" s="386">
        <v>83</v>
      </c>
      <c r="B51" s="261" t="s">
        <v>3085</v>
      </c>
      <c r="C51" s="317" t="s">
        <v>2595</v>
      </c>
      <c r="D51" s="350" t="s">
        <v>938</v>
      </c>
      <c r="E51" s="197" t="s">
        <v>3087</v>
      </c>
      <c r="F51" s="400"/>
      <c r="G51" s="20">
        <v>4532350160</v>
      </c>
      <c r="H51" s="401"/>
      <c r="I51" s="402"/>
    </row>
    <row r="52" spans="1:9" ht="21">
      <c r="A52" s="396">
        <v>84</v>
      </c>
      <c r="B52" s="261" t="s">
        <v>3088</v>
      </c>
      <c r="C52" s="317" t="s">
        <v>2576</v>
      </c>
      <c r="D52" s="350" t="s">
        <v>938</v>
      </c>
      <c r="E52" s="197" t="s">
        <v>3089</v>
      </c>
      <c r="F52" s="400"/>
      <c r="G52" s="20">
        <v>1000000000</v>
      </c>
      <c r="H52" s="401"/>
      <c r="I52" s="402"/>
    </row>
    <row r="53" spans="1:9" ht="21">
      <c r="A53" s="396">
        <v>85</v>
      </c>
      <c r="B53" s="261" t="s">
        <v>3090</v>
      </c>
      <c r="C53" s="317" t="s">
        <v>2595</v>
      </c>
      <c r="D53" s="350" t="s">
        <v>938</v>
      </c>
      <c r="E53" s="197" t="s">
        <v>3091</v>
      </c>
      <c r="F53" s="400"/>
      <c r="G53" s="20">
        <v>191999981</v>
      </c>
      <c r="H53" s="401"/>
      <c r="I53" s="402"/>
    </row>
    <row r="54" spans="1:9" ht="21">
      <c r="A54" s="403">
        <v>87</v>
      </c>
      <c r="B54" s="261" t="s">
        <v>3093</v>
      </c>
      <c r="C54" s="317" t="s">
        <v>2595</v>
      </c>
      <c r="D54" s="350" t="s">
        <v>938</v>
      </c>
      <c r="E54" s="197" t="s">
        <v>3092</v>
      </c>
      <c r="F54" s="404"/>
      <c r="G54" s="20">
        <v>3343189093</v>
      </c>
      <c r="H54" s="405"/>
      <c r="I54" s="406"/>
    </row>
    <row r="55" spans="1:9" ht="21">
      <c r="A55" s="403">
        <v>88</v>
      </c>
      <c r="B55" s="261" t="s">
        <v>3093</v>
      </c>
      <c r="C55" s="317" t="s">
        <v>2595</v>
      </c>
      <c r="D55" s="350" t="s">
        <v>938</v>
      </c>
      <c r="E55" s="197" t="s">
        <v>3094</v>
      </c>
      <c r="F55" s="404"/>
      <c r="G55" s="20">
        <v>5338436554</v>
      </c>
      <c r="H55" s="405"/>
      <c r="I55" s="406"/>
    </row>
    <row r="56" spans="1:9" ht="37.5">
      <c r="A56" s="403">
        <v>92</v>
      </c>
      <c r="B56" s="261" t="s">
        <v>3095</v>
      </c>
      <c r="C56" s="317" t="s">
        <v>2576</v>
      </c>
      <c r="D56" s="350" t="s">
        <v>938</v>
      </c>
      <c r="E56" s="197" t="s">
        <v>3096</v>
      </c>
      <c r="F56" s="404"/>
      <c r="G56" s="20">
        <v>764584003</v>
      </c>
      <c r="H56" s="405"/>
      <c r="I56" s="406"/>
    </row>
    <row r="57" spans="1:9" ht="21">
      <c r="A57" s="396">
        <v>96</v>
      </c>
      <c r="B57" s="261" t="s">
        <v>3098</v>
      </c>
      <c r="C57" s="317" t="s">
        <v>2576</v>
      </c>
      <c r="D57" s="350" t="s">
        <v>938</v>
      </c>
      <c r="E57" s="197" t="s">
        <v>3097</v>
      </c>
      <c r="F57" s="400"/>
      <c r="G57" s="20">
        <v>1000000000</v>
      </c>
      <c r="H57" s="401"/>
      <c r="I57" s="402"/>
    </row>
    <row r="58" spans="1:9" ht="21">
      <c r="A58" s="1">
        <v>97</v>
      </c>
      <c r="B58" s="261" t="s">
        <v>3101</v>
      </c>
      <c r="C58" s="317" t="s">
        <v>2595</v>
      </c>
      <c r="D58" s="350" t="s">
        <v>938</v>
      </c>
      <c r="E58" s="197" t="s">
        <v>3099</v>
      </c>
      <c r="I58" s="380"/>
    </row>
    <row r="59" spans="1:9" ht="35.25" customHeight="1">
      <c r="A59" s="1">
        <v>98</v>
      </c>
      <c r="B59" s="261" t="s">
        <v>3101</v>
      </c>
      <c r="C59" s="317" t="s">
        <v>2595</v>
      </c>
      <c r="D59" s="350" t="s">
        <v>938</v>
      </c>
      <c r="E59" s="197" t="s">
        <v>3100</v>
      </c>
      <c r="I59" s="380"/>
    </row>
    <row r="60" spans="1:9" ht="21">
      <c r="A60" s="1">
        <v>99</v>
      </c>
      <c r="B60" s="261" t="s">
        <v>3102</v>
      </c>
      <c r="C60" s="317" t="s">
        <v>2595</v>
      </c>
      <c r="D60" s="350" t="s">
        <v>938</v>
      </c>
      <c r="E60" s="74" t="s">
        <v>3103</v>
      </c>
      <c r="G60" s="20">
        <v>191887616</v>
      </c>
      <c r="I60" s="380"/>
    </row>
    <row r="61" spans="1:9" ht="21">
      <c r="A61" s="1">
        <v>100</v>
      </c>
      <c r="B61" s="261" t="s">
        <v>3104</v>
      </c>
      <c r="C61" s="317" t="s">
        <v>2576</v>
      </c>
      <c r="D61" s="350" t="s">
        <v>938</v>
      </c>
      <c r="E61" s="197" t="s">
        <v>3105</v>
      </c>
      <c r="G61" s="20">
        <v>0</v>
      </c>
      <c r="I61" s="380"/>
    </row>
    <row r="62" spans="1:9" ht="37.5">
      <c r="A62" s="1">
        <v>101</v>
      </c>
      <c r="B62" s="261" t="s">
        <v>3107</v>
      </c>
      <c r="C62" s="317" t="s">
        <v>2595</v>
      </c>
      <c r="D62" s="350" t="s">
        <v>938</v>
      </c>
      <c r="E62" s="74" t="s">
        <v>3106</v>
      </c>
      <c r="G62" s="20">
        <v>515421100</v>
      </c>
      <c r="I62" s="380"/>
    </row>
    <row r="63" spans="1:9" ht="37.5">
      <c r="A63" s="1">
        <v>102</v>
      </c>
      <c r="B63" s="261" t="s">
        <v>3107</v>
      </c>
      <c r="C63" s="317" t="s">
        <v>2576</v>
      </c>
      <c r="D63" s="350" t="s">
        <v>938</v>
      </c>
      <c r="E63" s="74" t="s">
        <v>3108</v>
      </c>
      <c r="G63" s="20">
        <v>715323421</v>
      </c>
      <c r="I63" s="380"/>
    </row>
    <row r="64" spans="1:9" ht="21">
      <c r="A64" s="1">
        <v>103</v>
      </c>
      <c r="B64" s="261" t="s">
        <v>3109</v>
      </c>
      <c r="C64" s="317" t="s">
        <v>2576</v>
      </c>
      <c r="D64" s="350" t="s">
        <v>938</v>
      </c>
      <c r="E64" s="197" t="s">
        <v>3110</v>
      </c>
      <c r="G64" s="20">
        <v>4523740916</v>
      </c>
      <c r="I64" s="380"/>
    </row>
    <row r="65" spans="1:9" ht="21">
      <c r="A65" s="1">
        <v>103</v>
      </c>
      <c r="B65" s="261" t="s">
        <v>3113</v>
      </c>
      <c r="C65" s="317" t="s">
        <v>2595</v>
      </c>
      <c r="D65" s="350" t="s">
        <v>938</v>
      </c>
      <c r="E65" s="197" t="s">
        <v>3112</v>
      </c>
      <c r="G65" s="20">
        <v>7366631438</v>
      </c>
      <c r="I65" s="380"/>
    </row>
    <row r="66" spans="1:9" ht="21">
      <c r="A66" s="1">
        <v>103</v>
      </c>
      <c r="B66" s="261" t="s">
        <v>3113</v>
      </c>
      <c r="C66" s="317" t="s">
        <v>2595</v>
      </c>
      <c r="D66" s="350" t="s">
        <v>938</v>
      </c>
      <c r="E66" s="197" t="s">
        <v>3112</v>
      </c>
      <c r="I66" s="380"/>
    </row>
    <row r="67" spans="1:9" ht="21">
      <c r="A67" s="396">
        <v>104</v>
      </c>
      <c r="B67" s="397"/>
      <c r="C67" s="398"/>
      <c r="D67" s="399"/>
      <c r="E67" s="197" t="s">
        <v>3111</v>
      </c>
      <c r="F67" s="400"/>
      <c r="H67" s="401"/>
      <c r="I67" s="402"/>
    </row>
    <row r="68" spans="1:9" ht="21">
      <c r="A68" s="396">
        <v>105</v>
      </c>
      <c r="B68" s="261" t="s">
        <v>3114</v>
      </c>
      <c r="C68" s="317" t="s">
        <v>2576</v>
      </c>
      <c r="D68" s="350" t="s">
        <v>938</v>
      </c>
      <c r="E68" s="197" t="s">
        <v>3115</v>
      </c>
      <c r="F68" s="400"/>
      <c r="G68" s="20">
        <v>674000000</v>
      </c>
      <c r="H68" s="401"/>
      <c r="I68" s="402"/>
    </row>
    <row r="69" spans="1:9" ht="37.5">
      <c r="A69" s="386">
        <v>106</v>
      </c>
      <c r="B69" s="261" t="s">
        <v>3116</v>
      </c>
      <c r="C69" s="387" t="s">
        <v>2576</v>
      </c>
      <c r="D69" s="388" t="s">
        <v>938</v>
      </c>
      <c r="E69" s="74" t="s">
        <v>3117</v>
      </c>
      <c r="F69" s="389"/>
      <c r="G69" s="20">
        <v>1650000000</v>
      </c>
      <c r="H69" s="390"/>
      <c r="I69" s="391"/>
    </row>
    <row r="70" spans="1:9" ht="21">
      <c r="A70" s="386">
        <v>107</v>
      </c>
      <c r="B70" s="261" t="s">
        <v>3118</v>
      </c>
      <c r="C70" s="387" t="s">
        <v>2576</v>
      </c>
      <c r="D70" s="388" t="s">
        <v>938</v>
      </c>
      <c r="E70" s="197" t="s">
        <v>3119</v>
      </c>
      <c r="F70" s="389"/>
      <c r="G70" s="20">
        <v>4586651850</v>
      </c>
      <c r="H70" s="390"/>
      <c r="I70" s="391"/>
    </row>
    <row r="71" spans="1:9" ht="21">
      <c r="A71" s="386">
        <v>108</v>
      </c>
      <c r="B71" s="261" t="s">
        <v>3121</v>
      </c>
      <c r="C71" s="387" t="s">
        <v>2576</v>
      </c>
      <c r="D71" s="388" t="s">
        <v>938</v>
      </c>
      <c r="E71" s="197" t="s">
        <v>3120</v>
      </c>
      <c r="F71" s="389"/>
      <c r="G71" s="20">
        <v>902000000</v>
      </c>
      <c r="H71" s="390"/>
      <c r="I71" s="391"/>
    </row>
    <row r="72" spans="1:9" ht="37.5">
      <c r="A72" s="1">
        <v>109</v>
      </c>
      <c r="B72" s="261" t="s">
        <v>3122</v>
      </c>
      <c r="C72" s="387" t="s">
        <v>2576</v>
      </c>
      <c r="D72" s="388" t="s">
        <v>938</v>
      </c>
      <c r="E72" s="74" t="s">
        <v>3123</v>
      </c>
      <c r="G72" s="20">
        <v>2190000000</v>
      </c>
      <c r="I72" s="380"/>
    </row>
    <row r="73" spans="1:9" ht="21">
      <c r="A73" s="1">
        <v>110</v>
      </c>
      <c r="B73" s="261" t="s">
        <v>3126</v>
      </c>
      <c r="C73" s="317" t="s">
        <v>2595</v>
      </c>
      <c r="D73" s="388" t="s">
        <v>938</v>
      </c>
      <c r="E73" s="197" t="s">
        <v>3124</v>
      </c>
      <c r="G73" s="20">
        <v>5412790376</v>
      </c>
      <c r="I73" s="380"/>
    </row>
    <row r="74" spans="1:9" ht="21">
      <c r="A74" s="1">
        <v>111</v>
      </c>
      <c r="B74" s="261" t="s">
        <v>3126</v>
      </c>
      <c r="C74" s="317" t="s">
        <v>2595</v>
      </c>
      <c r="D74" s="388" t="s">
        <v>938</v>
      </c>
      <c r="E74" s="197" t="s">
        <v>3125</v>
      </c>
      <c r="G74" s="20">
        <v>2789250008</v>
      </c>
      <c r="I74" s="380"/>
    </row>
    <row r="75" spans="1:9" ht="21">
      <c r="A75" s="1">
        <v>112</v>
      </c>
      <c r="B75" s="261" t="s">
        <v>3127</v>
      </c>
      <c r="C75" s="387" t="s">
        <v>2576</v>
      </c>
      <c r="D75" s="388" t="s">
        <v>938</v>
      </c>
      <c r="E75" s="197" t="s">
        <v>3128</v>
      </c>
      <c r="G75" s="20">
        <v>4708353800</v>
      </c>
      <c r="I75" s="380"/>
    </row>
    <row r="76" spans="1:9" ht="21">
      <c r="A76" s="1">
        <v>113</v>
      </c>
      <c r="B76" s="261" t="s">
        <v>3129</v>
      </c>
      <c r="C76" s="317" t="s">
        <v>2595</v>
      </c>
      <c r="D76" s="388" t="s">
        <v>938</v>
      </c>
      <c r="E76" s="197" t="s">
        <v>3130</v>
      </c>
      <c r="F76" s="408"/>
      <c r="G76" s="411">
        <v>4710950851</v>
      </c>
      <c r="H76" s="409"/>
      <c r="I76" s="410"/>
    </row>
    <row r="77" spans="1:9" ht="21">
      <c r="A77" s="1">
        <v>114</v>
      </c>
      <c r="B77" s="261" t="s">
        <v>3129</v>
      </c>
      <c r="C77" s="317" t="s">
        <v>2595</v>
      </c>
      <c r="D77" s="388" t="s">
        <v>938</v>
      </c>
      <c r="E77" s="197" t="s">
        <v>3131</v>
      </c>
      <c r="F77" s="408"/>
      <c r="G77" s="411">
        <v>954109964</v>
      </c>
      <c r="H77" s="409"/>
      <c r="I77" s="410"/>
    </row>
    <row r="78" spans="1:9" ht="21">
      <c r="A78" s="407">
        <v>115</v>
      </c>
      <c r="B78" s="261" t="s">
        <v>3129</v>
      </c>
      <c r="C78" s="317" t="s">
        <v>2595</v>
      </c>
      <c r="D78" s="388" t="s">
        <v>938</v>
      </c>
      <c r="E78" s="197" t="s">
        <v>3132</v>
      </c>
      <c r="F78" s="408"/>
      <c r="G78" s="411">
        <v>6000000</v>
      </c>
      <c r="H78" s="409"/>
      <c r="I78" s="410"/>
    </row>
    <row r="79" spans="1:9" ht="21">
      <c r="A79" s="407">
        <v>116</v>
      </c>
      <c r="B79" s="261" t="s">
        <v>3129</v>
      </c>
      <c r="C79" s="387" t="s">
        <v>2576</v>
      </c>
      <c r="D79" s="388" t="s">
        <v>938</v>
      </c>
      <c r="E79" s="197" t="s">
        <v>3133</v>
      </c>
      <c r="F79" s="408"/>
      <c r="G79" s="412">
        <v>605000000</v>
      </c>
      <c r="H79" s="409"/>
      <c r="I79" s="410"/>
    </row>
    <row r="80" spans="1:9" ht="21">
      <c r="A80" s="407">
        <v>117</v>
      </c>
      <c r="B80" s="261" t="s">
        <v>3129</v>
      </c>
      <c r="C80" s="387" t="s">
        <v>2576</v>
      </c>
      <c r="D80" s="388" t="s">
        <v>938</v>
      </c>
      <c r="E80" s="197" t="s">
        <v>3134</v>
      </c>
      <c r="F80" s="408"/>
      <c r="G80" s="411">
        <v>9310000000</v>
      </c>
      <c r="H80" s="409"/>
      <c r="I80" s="410"/>
    </row>
    <row r="81" spans="1:9" ht="21">
      <c r="A81" s="407">
        <v>118</v>
      </c>
      <c r="B81" s="261" t="s">
        <v>3129</v>
      </c>
      <c r="C81" s="317" t="s">
        <v>2595</v>
      </c>
      <c r="D81" s="388" t="s">
        <v>938</v>
      </c>
      <c r="E81" s="197" t="s">
        <v>3135</v>
      </c>
      <c r="F81" s="408"/>
      <c r="G81" s="412">
        <v>7075000000</v>
      </c>
      <c r="H81" s="409"/>
      <c r="I81" s="410"/>
    </row>
    <row r="82" spans="1:9" ht="21">
      <c r="A82" s="407">
        <v>119</v>
      </c>
      <c r="B82" s="261"/>
      <c r="C82" s="387" t="s">
        <v>2576</v>
      </c>
      <c r="D82" s="388" t="s">
        <v>938</v>
      </c>
      <c r="E82" s="197" t="s">
        <v>3136</v>
      </c>
      <c r="F82" s="408"/>
      <c r="G82" s="20">
        <v>5091789146</v>
      </c>
      <c r="H82" s="409"/>
      <c r="I82" s="410"/>
    </row>
    <row r="83" spans="1:9" ht="21">
      <c r="A83" s="407">
        <v>120</v>
      </c>
      <c r="B83" s="261" t="s">
        <v>3139</v>
      </c>
      <c r="C83" s="317" t="s">
        <v>2595</v>
      </c>
      <c r="D83" s="388" t="s">
        <v>938</v>
      </c>
      <c r="E83" s="197" t="s">
        <v>3130</v>
      </c>
      <c r="F83" s="408"/>
      <c r="G83" s="20">
        <v>680200307</v>
      </c>
      <c r="H83" s="409"/>
      <c r="I83" s="410"/>
    </row>
    <row r="84" spans="1:9" ht="21">
      <c r="A84" s="407">
        <v>121</v>
      </c>
      <c r="B84" s="261" t="s">
        <v>3139</v>
      </c>
      <c r="C84" s="317" t="s">
        <v>2595</v>
      </c>
      <c r="D84" s="388" t="s">
        <v>938</v>
      </c>
      <c r="E84" s="197" t="s">
        <v>3131</v>
      </c>
      <c r="F84" s="414"/>
      <c r="G84" s="20">
        <v>1082065681</v>
      </c>
      <c r="H84" s="415"/>
      <c r="I84" s="416"/>
    </row>
    <row r="85" spans="1:9" ht="21">
      <c r="A85" s="413">
        <v>122</v>
      </c>
      <c r="B85" s="261" t="s">
        <v>3137</v>
      </c>
      <c r="C85" s="387" t="s">
        <v>2576</v>
      </c>
      <c r="D85" s="388" t="s">
        <v>938</v>
      </c>
      <c r="E85" s="197" t="s">
        <v>3138</v>
      </c>
      <c r="F85" s="414"/>
      <c r="G85" s="20">
        <v>685000000</v>
      </c>
      <c r="H85" s="415"/>
      <c r="I85" s="416"/>
    </row>
    <row r="86" spans="1:9" ht="37.5">
      <c r="A86" s="413">
        <v>123</v>
      </c>
      <c r="B86" s="261" t="s">
        <v>3140</v>
      </c>
      <c r="C86" s="387" t="s">
        <v>2576</v>
      </c>
      <c r="D86" s="388" t="s">
        <v>938</v>
      </c>
      <c r="E86" s="74" t="s">
        <v>3141</v>
      </c>
      <c r="F86" s="414"/>
      <c r="G86" s="20">
        <v>4200000000</v>
      </c>
      <c r="H86" s="415"/>
      <c r="I86" s="416"/>
    </row>
    <row r="87" spans="1:9" ht="21">
      <c r="A87" s="413">
        <v>124</v>
      </c>
      <c r="B87" s="261" t="s">
        <v>3144</v>
      </c>
      <c r="C87" s="317" t="s">
        <v>2595</v>
      </c>
      <c r="D87" s="388" t="s">
        <v>938</v>
      </c>
      <c r="E87" s="197" t="s">
        <v>3143</v>
      </c>
      <c r="F87" s="414"/>
      <c r="G87" s="20">
        <v>4390976000</v>
      </c>
      <c r="H87" s="415"/>
      <c r="I87" s="416"/>
    </row>
    <row r="88" spans="1:9" ht="21">
      <c r="A88" s="413">
        <v>125</v>
      </c>
      <c r="B88" s="261" t="s">
        <v>3144</v>
      </c>
      <c r="C88" s="317" t="s">
        <v>2595</v>
      </c>
      <c r="D88" s="388" t="s">
        <v>938</v>
      </c>
      <c r="E88" s="197" t="s">
        <v>3142</v>
      </c>
      <c r="F88" s="414"/>
      <c r="G88" s="20">
        <v>6347722271</v>
      </c>
      <c r="H88" s="415"/>
      <c r="I88" s="416"/>
    </row>
    <row r="89" spans="1:9" ht="21">
      <c r="A89" s="413">
        <v>126</v>
      </c>
      <c r="B89" s="261" t="s">
        <v>3147</v>
      </c>
      <c r="C89" s="317" t="s">
        <v>2595</v>
      </c>
      <c r="D89" s="388" t="s">
        <v>938</v>
      </c>
      <c r="E89" s="197" t="s">
        <v>3146</v>
      </c>
      <c r="F89" s="414"/>
      <c r="G89" s="20">
        <v>4558835000</v>
      </c>
      <c r="H89" s="415"/>
      <c r="I89" s="416"/>
    </row>
    <row r="90" spans="1:9" ht="21">
      <c r="A90" s="413">
        <v>127</v>
      </c>
      <c r="B90" s="261" t="s">
        <v>3147</v>
      </c>
      <c r="C90" s="317" t="s">
        <v>2595</v>
      </c>
      <c r="D90" s="388" t="s">
        <v>938</v>
      </c>
      <c r="E90" s="197" t="s">
        <v>3145</v>
      </c>
      <c r="F90" s="414"/>
      <c r="G90" s="20">
        <v>6812813401</v>
      </c>
      <c r="H90" s="415"/>
      <c r="I90" s="416"/>
    </row>
    <row r="91" spans="1:9" ht="21">
      <c r="A91" s="407">
        <v>128</v>
      </c>
      <c r="B91" s="261" t="s">
        <v>3147</v>
      </c>
      <c r="C91" s="317" t="s">
        <v>2595</v>
      </c>
      <c r="D91" s="388" t="s">
        <v>938</v>
      </c>
      <c r="E91" s="197" t="s">
        <v>3148</v>
      </c>
      <c r="F91" s="408"/>
      <c r="G91" s="20">
        <v>120000000</v>
      </c>
      <c r="H91" s="409"/>
      <c r="I91" s="410"/>
    </row>
    <row r="92" spans="1:9" ht="21">
      <c r="A92" s="407">
        <v>129</v>
      </c>
      <c r="B92" s="261" t="s">
        <v>3149</v>
      </c>
      <c r="C92" s="317" t="s">
        <v>2595</v>
      </c>
      <c r="D92" s="388" t="s">
        <v>938</v>
      </c>
      <c r="E92" s="197" t="s">
        <v>3150</v>
      </c>
      <c r="F92" s="408"/>
      <c r="G92" s="20">
        <v>360240000</v>
      </c>
      <c r="H92" s="409"/>
      <c r="I92" s="410"/>
    </row>
    <row r="93" spans="1:9" ht="21">
      <c r="A93" s="407">
        <v>130</v>
      </c>
      <c r="B93" s="261" t="s">
        <v>3152</v>
      </c>
      <c r="C93" s="387" t="s">
        <v>2576</v>
      </c>
      <c r="D93" s="388" t="s">
        <v>938</v>
      </c>
      <c r="E93" s="197" t="s">
        <v>3151</v>
      </c>
      <c r="F93" s="408"/>
      <c r="G93" s="20">
        <v>60331609</v>
      </c>
      <c r="H93" s="409"/>
      <c r="I93" s="410"/>
    </row>
    <row r="94" spans="1:9" ht="21">
      <c r="A94" s="407">
        <v>131</v>
      </c>
      <c r="B94" s="261" t="s">
        <v>3153</v>
      </c>
      <c r="C94" s="387" t="s">
        <v>2576</v>
      </c>
      <c r="D94" s="388" t="s">
        <v>938</v>
      </c>
      <c r="E94" s="197" t="s">
        <v>3154</v>
      </c>
      <c r="F94" s="408"/>
      <c r="G94" s="20">
        <v>7163853000</v>
      </c>
      <c r="H94" s="409"/>
      <c r="I94" s="410"/>
    </row>
    <row r="95" spans="1:9" ht="21">
      <c r="A95" s="407">
        <v>132</v>
      </c>
      <c r="B95" s="261" t="s">
        <v>3156</v>
      </c>
      <c r="C95" s="317" t="s">
        <v>2595</v>
      </c>
      <c r="D95" s="388" t="s">
        <v>938</v>
      </c>
      <c r="E95" s="197" t="s">
        <v>3155</v>
      </c>
      <c r="F95" s="408"/>
      <c r="G95" s="20">
        <v>7348776771</v>
      </c>
      <c r="H95" s="409"/>
      <c r="I95" s="410"/>
    </row>
    <row r="96" spans="1:9" ht="21">
      <c r="A96" s="1">
        <v>133</v>
      </c>
      <c r="B96" s="261" t="s">
        <v>3156</v>
      </c>
      <c r="C96" s="317" t="s">
        <v>2595</v>
      </c>
      <c r="D96" s="388" t="s">
        <v>938</v>
      </c>
      <c r="E96" s="197" t="s">
        <v>3157</v>
      </c>
      <c r="G96" s="20">
        <v>4307173756</v>
      </c>
      <c r="I96" s="380"/>
    </row>
    <row r="97" spans="1:9" ht="21">
      <c r="A97" s="1">
        <v>134</v>
      </c>
      <c r="B97" s="261" t="s">
        <v>3158</v>
      </c>
      <c r="C97" s="387" t="s">
        <v>2576</v>
      </c>
      <c r="D97" s="388" t="s">
        <v>938</v>
      </c>
      <c r="E97" s="197" t="s">
        <v>3159</v>
      </c>
      <c r="G97" s="20">
        <v>960308282</v>
      </c>
      <c r="I97" s="380"/>
    </row>
    <row r="98" spans="1:9" ht="21">
      <c r="A98" s="1">
        <v>135</v>
      </c>
      <c r="B98" s="261" t="s">
        <v>3158</v>
      </c>
      <c r="C98" s="317" t="s">
        <v>2595</v>
      </c>
      <c r="D98" s="388" t="s">
        <v>938</v>
      </c>
      <c r="E98" s="197" t="s">
        <v>3160</v>
      </c>
      <c r="G98" s="20">
        <v>10000000</v>
      </c>
      <c r="I98" s="380"/>
    </row>
    <row r="99" spans="1:9" ht="21">
      <c r="A99" s="1">
        <v>136</v>
      </c>
      <c r="B99" s="261" t="s">
        <v>3161</v>
      </c>
      <c r="C99" s="387" t="s">
        <v>2576</v>
      </c>
      <c r="D99" s="388" t="s">
        <v>938</v>
      </c>
      <c r="E99" s="197" t="s">
        <v>3162</v>
      </c>
      <c r="G99" s="20">
        <v>66571224000</v>
      </c>
      <c r="I99" s="380"/>
    </row>
    <row r="100" spans="1:9" ht="21">
      <c r="A100" s="1">
        <v>137</v>
      </c>
      <c r="B100" s="261" t="s">
        <v>3165</v>
      </c>
      <c r="C100" s="317" t="s">
        <v>2595</v>
      </c>
      <c r="D100" s="388" t="s">
        <v>938</v>
      </c>
      <c r="E100" s="197" t="s">
        <v>3163</v>
      </c>
      <c r="G100" s="20">
        <v>8851100930</v>
      </c>
      <c r="I100" s="380"/>
    </row>
    <row r="101" spans="1:9" ht="21">
      <c r="A101" s="1">
        <v>138</v>
      </c>
      <c r="B101" s="261" t="s">
        <v>3165</v>
      </c>
      <c r="C101" s="317" t="s">
        <v>2595</v>
      </c>
      <c r="D101" s="388" t="s">
        <v>938</v>
      </c>
      <c r="E101" s="197" t="s">
        <v>3164</v>
      </c>
      <c r="G101" s="20">
        <v>4726103626</v>
      </c>
      <c r="I101" s="380"/>
    </row>
    <row r="102" spans="1:9" ht="21">
      <c r="A102" s="1">
        <v>139</v>
      </c>
      <c r="B102" s="261" t="s">
        <v>3166</v>
      </c>
      <c r="C102" s="317" t="s">
        <v>2595</v>
      </c>
      <c r="D102" s="388" t="s">
        <v>938</v>
      </c>
      <c r="E102" s="197" t="s">
        <v>3167</v>
      </c>
      <c r="G102" s="20">
        <v>250000000</v>
      </c>
      <c r="I102" s="380"/>
    </row>
    <row r="103" spans="1:9" ht="21">
      <c r="A103" s="1">
        <v>140</v>
      </c>
      <c r="B103" s="261" t="s">
        <v>3166</v>
      </c>
      <c r="C103" s="317" t="s">
        <v>2595</v>
      </c>
      <c r="D103" s="388" t="s">
        <v>938</v>
      </c>
      <c r="E103" s="197" t="s">
        <v>3168</v>
      </c>
      <c r="G103" s="20">
        <v>11250000</v>
      </c>
      <c r="I103" s="380"/>
    </row>
    <row r="104" spans="1:9" ht="21">
      <c r="A104" s="1">
        <v>141</v>
      </c>
      <c r="B104" s="261" t="s">
        <v>3166</v>
      </c>
      <c r="C104" s="387" t="s">
        <v>2576</v>
      </c>
      <c r="D104" s="388" t="s">
        <v>938</v>
      </c>
      <c r="E104" s="197" t="s">
        <v>3170</v>
      </c>
      <c r="G104" s="20">
        <v>40000000</v>
      </c>
      <c r="I104" s="380"/>
    </row>
    <row r="105" spans="1:9" ht="21">
      <c r="A105" s="1">
        <v>142</v>
      </c>
      <c r="B105" s="261" t="s">
        <v>3169</v>
      </c>
      <c r="C105" s="387" t="s">
        <v>2576</v>
      </c>
      <c r="D105" s="388" t="s">
        <v>938</v>
      </c>
      <c r="E105" s="197" t="s">
        <v>3171</v>
      </c>
      <c r="G105" s="20">
        <v>199738637</v>
      </c>
      <c r="I105" s="380"/>
    </row>
    <row r="106" spans="1:9" ht="21">
      <c r="A106" s="1">
        <v>143</v>
      </c>
      <c r="B106" s="261" t="s">
        <v>3172</v>
      </c>
      <c r="C106" s="317" t="s">
        <v>2595</v>
      </c>
      <c r="D106" s="388" t="s">
        <v>938</v>
      </c>
      <c r="E106" s="197" t="s">
        <v>3173</v>
      </c>
      <c r="G106" s="20">
        <v>10000000</v>
      </c>
      <c r="I106" s="380"/>
    </row>
    <row r="107" spans="1:9" ht="21">
      <c r="A107" s="1">
        <v>144</v>
      </c>
      <c r="B107" s="261" t="s">
        <v>3174</v>
      </c>
      <c r="C107" s="387" t="s">
        <v>2576</v>
      </c>
      <c r="D107" s="388" t="s">
        <v>938</v>
      </c>
      <c r="E107" s="197" t="s">
        <v>3175</v>
      </c>
      <c r="G107" s="20">
        <v>6856466000</v>
      </c>
      <c r="I107" s="380"/>
    </row>
    <row r="108" spans="1:9" ht="37.5">
      <c r="A108" s="1">
        <v>145</v>
      </c>
      <c r="B108" s="261" t="s">
        <v>3176</v>
      </c>
      <c r="C108" s="387" t="s">
        <v>2576</v>
      </c>
      <c r="D108" s="388" t="s">
        <v>938</v>
      </c>
      <c r="E108" s="74" t="s">
        <v>3177</v>
      </c>
      <c r="G108" s="20">
        <v>324000000</v>
      </c>
      <c r="I108" s="380"/>
    </row>
    <row r="109" spans="1:9" ht="21">
      <c r="A109" s="1">
        <v>146</v>
      </c>
      <c r="B109" s="261" t="s">
        <v>3180</v>
      </c>
      <c r="C109" s="317" t="s">
        <v>2595</v>
      </c>
      <c r="D109" s="388" t="s">
        <v>938</v>
      </c>
      <c r="E109" s="197" t="s">
        <v>3178</v>
      </c>
      <c r="I109" s="380"/>
    </row>
    <row r="110" spans="1:9" ht="21">
      <c r="A110" s="1">
        <v>147</v>
      </c>
      <c r="B110" s="261" t="s">
        <v>3180</v>
      </c>
      <c r="C110" s="317" t="s">
        <v>2595</v>
      </c>
      <c r="D110" s="388" t="s">
        <v>938</v>
      </c>
      <c r="E110" s="197" t="s">
        <v>3179</v>
      </c>
      <c r="I110" s="380"/>
    </row>
    <row r="111" spans="1:9" ht="21">
      <c r="A111" s="1">
        <v>148</v>
      </c>
      <c r="B111" s="261" t="s">
        <v>3182</v>
      </c>
      <c r="C111" s="387" t="s">
        <v>2576</v>
      </c>
      <c r="D111" s="388" t="s">
        <v>938</v>
      </c>
      <c r="E111" s="197" t="s">
        <v>3181</v>
      </c>
      <c r="G111" s="20">
        <v>1002000000</v>
      </c>
      <c r="I111" s="380"/>
    </row>
    <row r="112" spans="1:9" ht="21">
      <c r="A112" s="1">
        <v>149</v>
      </c>
      <c r="B112" s="261" t="s">
        <v>3183</v>
      </c>
      <c r="C112" s="387" t="s">
        <v>2576</v>
      </c>
      <c r="D112" s="388" t="s">
        <v>938</v>
      </c>
      <c r="E112" s="74" t="s">
        <v>3184</v>
      </c>
      <c r="G112" s="20">
        <v>35000000</v>
      </c>
      <c r="I112" s="380"/>
    </row>
    <row r="113" spans="1:9" ht="21">
      <c r="A113" s="1">
        <v>150</v>
      </c>
      <c r="B113" s="261" t="s">
        <v>3185</v>
      </c>
      <c r="C113" s="317" t="s">
        <v>2595</v>
      </c>
      <c r="D113" s="388" t="s">
        <v>938</v>
      </c>
      <c r="E113" s="74" t="s">
        <v>3186</v>
      </c>
      <c r="G113" s="20">
        <v>380148478</v>
      </c>
      <c r="I113" s="380"/>
    </row>
    <row r="114" spans="1:9" ht="37.5">
      <c r="A114" s="1">
        <v>151</v>
      </c>
      <c r="B114" s="261" t="s">
        <v>3185</v>
      </c>
      <c r="C114" s="387" t="s">
        <v>2576</v>
      </c>
      <c r="D114" s="388" t="s">
        <v>938</v>
      </c>
      <c r="E114" s="74" t="s">
        <v>3187</v>
      </c>
      <c r="G114" s="20">
        <v>55867338</v>
      </c>
      <c r="I114" s="380"/>
    </row>
    <row r="115" spans="1:9" ht="37.5">
      <c r="A115" s="1">
        <v>152</v>
      </c>
      <c r="B115" s="261" t="s">
        <v>3185</v>
      </c>
      <c r="C115" s="387" t="s">
        <v>2576</v>
      </c>
      <c r="D115" s="388" t="s">
        <v>938</v>
      </c>
      <c r="E115" s="74" t="s">
        <v>3188</v>
      </c>
      <c r="G115" s="20">
        <v>32286001</v>
      </c>
      <c r="I115" s="380"/>
    </row>
    <row r="116" spans="1:9" ht="21">
      <c r="A116" s="1">
        <v>153</v>
      </c>
      <c r="B116" s="261" t="s">
        <v>3190</v>
      </c>
      <c r="C116" s="387" t="s">
        <v>2576</v>
      </c>
      <c r="D116" s="388" t="s">
        <v>938</v>
      </c>
      <c r="E116" s="197" t="s">
        <v>3189</v>
      </c>
      <c r="G116" s="20">
        <v>5980408702</v>
      </c>
      <c r="I116" s="380"/>
    </row>
    <row r="117" spans="1:9" ht="21">
      <c r="A117" s="1">
        <v>154</v>
      </c>
      <c r="B117" s="261" t="s">
        <v>3192</v>
      </c>
      <c r="C117" s="387" t="s">
        <v>2576</v>
      </c>
      <c r="D117" s="388" t="s">
        <v>938</v>
      </c>
      <c r="E117" s="74" t="s">
        <v>3191</v>
      </c>
      <c r="F117" s="378"/>
      <c r="G117" s="20">
        <f>'[1]اقتصاد 1-140372-800-135 '!$B$460</f>
        <v>55867338</v>
      </c>
      <c r="I117" s="380"/>
    </row>
    <row r="118" spans="1:9" ht="21">
      <c r="A118" s="1">
        <v>155</v>
      </c>
      <c r="B118" s="261" t="s">
        <v>3194</v>
      </c>
      <c r="C118" s="387" t="s">
        <v>2576</v>
      </c>
      <c r="D118" s="388" t="s">
        <v>938</v>
      </c>
      <c r="E118" s="197" t="s">
        <v>3193</v>
      </c>
      <c r="G118" s="20">
        <v>1200000000</v>
      </c>
      <c r="I118" s="380"/>
    </row>
    <row r="119" spans="1:9" ht="21">
      <c r="A119" s="1">
        <v>156</v>
      </c>
      <c r="B119" s="261" t="s">
        <v>3197</v>
      </c>
      <c r="C119" s="317" t="s">
        <v>2595</v>
      </c>
      <c r="D119" s="388" t="s">
        <v>938</v>
      </c>
      <c r="E119" s="197" t="s">
        <v>3195</v>
      </c>
      <c r="G119" s="20">
        <v>7229246405</v>
      </c>
      <c r="I119" s="380"/>
    </row>
    <row r="120" spans="1:9" ht="21">
      <c r="A120" s="1">
        <v>157</v>
      </c>
      <c r="B120" s="261" t="s">
        <v>3197</v>
      </c>
      <c r="C120" s="317" t="s">
        <v>2595</v>
      </c>
      <c r="D120" s="388" t="s">
        <v>938</v>
      </c>
      <c r="E120" s="197" t="s">
        <v>3196</v>
      </c>
      <c r="G120" s="20">
        <v>4334606689</v>
      </c>
      <c r="I120" s="380"/>
    </row>
    <row r="121" spans="1:9" ht="21">
      <c r="A121" s="1">
        <v>158</v>
      </c>
      <c r="B121" s="261" t="s">
        <v>3197</v>
      </c>
      <c r="C121" s="317" t="s">
        <v>2595</v>
      </c>
      <c r="D121" s="388" t="s">
        <v>938</v>
      </c>
      <c r="E121" s="197" t="s">
        <v>3193</v>
      </c>
      <c r="G121" s="20">
        <v>300000000</v>
      </c>
      <c r="I121" s="380"/>
    </row>
    <row r="122" spans="1:9" ht="21">
      <c r="A122" s="1">
        <v>159</v>
      </c>
      <c r="B122" s="261" t="s">
        <v>3198</v>
      </c>
      <c r="C122" s="317" t="s">
        <v>2595</v>
      </c>
      <c r="D122" s="388" t="s">
        <v>938</v>
      </c>
      <c r="E122" s="74" t="s">
        <v>3199</v>
      </c>
      <c r="G122" s="20">
        <v>172308837</v>
      </c>
      <c r="I122" s="380"/>
    </row>
    <row r="123" spans="1:9" ht="21">
      <c r="A123" s="1">
        <v>160</v>
      </c>
      <c r="B123" s="261" t="s">
        <v>3200</v>
      </c>
      <c r="C123" s="387" t="s">
        <v>2576</v>
      </c>
      <c r="D123" s="388" t="s">
        <v>938</v>
      </c>
      <c r="E123" s="197" t="s">
        <v>3193</v>
      </c>
      <c r="G123" s="20">
        <v>800000000</v>
      </c>
      <c r="I123" s="380"/>
    </row>
    <row r="124" spans="1:9" ht="21">
      <c r="A124" s="1">
        <v>161</v>
      </c>
      <c r="B124" s="261" t="s">
        <v>3202</v>
      </c>
      <c r="C124" s="387" t="s">
        <v>2576</v>
      </c>
      <c r="D124" s="388" t="s">
        <v>938</v>
      </c>
      <c r="E124" s="197" t="s">
        <v>3201</v>
      </c>
      <c r="G124" s="20">
        <v>2000000000</v>
      </c>
      <c r="I124" s="380"/>
    </row>
    <row r="125" spans="1:9" ht="21">
      <c r="A125" s="1">
        <v>162</v>
      </c>
      <c r="B125" s="1" t="s">
        <v>3204</v>
      </c>
      <c r="C125" s="387" t="s">
        <v>2576</v>
      </c>
      <c r="D125" s="388" t="s">
        <v>938</v>
      </c>
      <c r="E125" s="197" t="s">
        <v>3203</v>
      </c>
      <c r="G125" s="20">
        <v>6195791000</v>
      </c>
      <c r="I125" s="380"/>
    </row>
    <row r="126" spans="1:9" ht="21">
      <c r="A126" s="1">
        <v>163</v>
      </c>
      <c r="B126" s="261" t="s">
        <v>3207</v>
      </c>
      <c r="C126" s="317" t="s">
        <v>2595</v>
      </c>
      <c r="D126" s="388" t="s">
        <v>938</v>
      </c>
      <c r="E126" s="197" t="s">
        <v>3205</v>
      </c>
      <c r="F126" s="421"/>
      <c r="G126" s="20">
        <v>6554366853</v>
      </c>
      <c r="H126" s="422"/>
      <c r="I126" s="423"/>
    </row>
    <row r="127" spans="1:9" ht="21">
      <c r="A127" s="1">
        <v>164</v>
      </c>
      <c r="B127" s="261" t="s">
        <v>3207</v>
      </c>
      <c r="C127" s="317" t="s">
        <v>2595</v>
      </c>
      <c r="D127" s="388" t="s">
        <v>938</v>
      </c>
      <c r="E127" s="197" t="s">
        <v>3206</v>
      </c>
      <c r="F127" s="421"/>
      <c r="G127" s="20">
        <v>4989290931</v>
      </c>
      <c r="H127" s="422"/>
      <c r="I127" s="423"/>
    </row>
    <row r="128" spans="1:9" ht="21">
      <c r="A128" s="1">
        <v>165</v>
      </c>
      <c r="B128" s="261" t="s">
        <v>3209</v>
      </c>
      <c r="C128" s="387" t="s">
        <v>2576</v>
      </c>
      <c r="D128" s="388" t="s">
        <v>938</v>
      </c>
      <c r="E128" s="197" t="s">
        <v>3208</v>
      </c>
      <c r="F128" s="421"/>
      <c r="G128" s="20">
        <v>234000000</v>
      </c>
      <c r="H128" s="422"/>
      <c r="I128" s="423"/>
    </row>
    <row r="129" spans="1:9" ht="21">
      <c r="A129" s="417">
        <v>166</v>
      </c>
      <c r="B129" s="261" t="s">
        <v>3210</v>
      </c>
      <c r="C129" s="387" t="s">
        <v>2576</v>
      </c>
      <c r="D129" s="388" t="s">
        <v>938</v>
      </c>
      <c r="E129" s="197" t="s">
        <v>3211</v>
      </c>
      <c r="F129" s="421"/>
      <c r="G129" s="20">
        <v>6638742972</v>
      </c>
      <c r="H129" s="422"/>
      <c r="I129" s="423"/>
    </row>
    <row r="130" spans="1:9" ht="21">
      <c r="A130" s="417">
        <v>167</v>
      </c>
      <c r="B130" s="261" t="s">
        <v>3213</v>
      </c>
      <c r="C130" s="317" t="s">
        <v>2595</v>
      </c>
      <c r="D130" s="388" t="s">
        <v>938</v>
      </c>
      <c r="E130" s="74" t="s">
        <v>3212</v>
      </c>
      <c r="F130" s="421"/>
      <c r="G130" s="20">
        <v>117000000</v>
      </c>
      <c r="H130" s="422"/>
      <c r="I130" s="423"/>
    </row>
    <row r="131" spans="1:9" ht="21">
      <c r="A131" s="417">
        <v>168</v>
      </c>
      <c r="B131" s="261" t="s">
        <v>3213</v>
      </c>
      <c r="C131" s="317" t="s">
        <v>2595</v>
      </c>
      <c r="D131" s="388" t="s">
        <v>938</v>
      </c>
      <c r="E131" s="197" t="s">
        <v>3214</v>
      </c>
      <c r="F131" s="425"/>
      <c r="G131" s="20">
        <f>265500000+265500000</f>
        <v>531000000</v>
      </c>
      <c r="H131" s="426"/>
      <c r="I131" s="427"/>
    </row>
    <row r="132" spans="1:9" ht="21">
      <c r="A132" s="417">
        <v>169</v>
      </c>
      <c r="B132" s="261" t="s">
        <v>3215</v>
      </c>
      <c r="C132" s="317" t="s">
        <v>2595</v>
      </c>
      <c r="D132" s="388" t="s">
        <v>938</v>
      </c>
      <c r="E132" s="74" t="s">
        <v>3216</v>
      </c>
      <c r="F132" s="421"/>
      <c r="G132" s="20">
        <v>4404476028</v>
      </c>
      <c r="H132" s="422"/>
      <c r="I132" s="423"/>
    </row>
    <row r="133" spans="1:9" ht="21">
      <c r="A133" s="417">
        <v>170</v>
      </c>
      <c r="B133" s="261" t="s">
        <v>3215</v>
      </c>
      <c r="C133" s="317" t="s">
        <v>2595</v>
      </c>
      <c r="D133" s="388" t="s">
        <v>938</v>
      </c>
      <c r="E133" s="74" t="s">
        <v>3217</v>
      </c>
      <c r="F133" s="421"/>
      <c r="G133" s="20">
        <v>6134360993</v>
      </c>
      <c r="H133" s="422"/>
      <c r="I133" s="423"/>
    </row>
    <row r="134" spans="1:9" ht="21">
      <c r="A134" s="417">
        <v>171</v>
      </c>
      <c r="B134" s="261" t="s">
        <v>3218</v>
      </c>
      <c r="C134" s="317" t="s">
        <v>2595</v>
      </c>
      <c r="D134" s="388" t="s">
        <v>938</v>
      </c>
      <c r="E134" s="197" t="s">
        <v>3214</v>
      </c>
      <c r="F134" s="425"/>
      <c r="G134" s="20">
        <v>280000000</v>
      </c>
      <c r="H134" s="426"/>
      <c r="I134" s="427"/>
    </row>
    <row r="135" spans="1:9" ht="37.5">
      <c r="A135" s="417">
        <v>172</v>
      </c>
      <c r="B135" s="261" t="s">
        <v>3220</v>
      </c>
      <c r="C135" s="387" t="s">
        <v>2576</v>
      </c>
      <c r="D135" s="388" t="s">
        <v>938</v>
      </c>
      <c r="E135" s="74" t="s">
        <v>3219</v>
      </c>
      <c r="F135" s="425"/>
      <c r="G135" s="20">
        <v>0</v>
      </c>
      <c r="H135" s="426"/>
      <c r="I135" s="427"/>
    </row>
    <row r="136" spans="1:9" ht="21">
      <c r="A136" s="417">
        <v>173</v>
      </c>
      <c r="B136" s="261" t="s">
        <v>3221</v>
      </c>
      <c r="C136" s="387" t="s">
        <v>2576</v>
      </c>
      <c r="D136" s="388" t="s">
        <v>938</v>
      </c>
      <c r="E136" s="197" t="s">
        <v>3222</v>
      </c>
      <c r="F136" s="425"/>
      <c r="G136" s="20">
        <v>1000000000</v>
      </c>
      <c r="H136" s="426"/>
      <c r="I136" s="427"/>
    </row>
    <row r="137" spans="1:9" ht="21">
      <c r="A137" s="424">
        <v>174</v>
      </c>
      <c r="B137" s="261" t="s">
        <v>3224</v>
      </c>
      <c r="C137" s="317" t="s">
        <v>2595</v>
      </c>
      <c r="D137" s="388" t="s">
        <v>938</v>
      </c>
      <c r="E137" s="197" t="s">
        <v>3223</v>
      </c>
      <c r="F137" s="425"/>
      <c r="G137" s="20">
        <v>100000000</v>
      </c>
      <c r="H137" s="426"/>
      <c r="I137" s="427"/>
    </row>
    <row r="138" spans="1:9" ht="21">
      <c r="A138" s="424">
        <v>175</v>
      </c>
      <c r="B138" s="261" t="s">
        <v>3224</v>
      </c>
      <c r="C138" s="387" t="s">
        <v>2576</v>
      </c>
      <c r="D138" s="388" t="s">
        <v>938</v>
      </c>
      <c r="E138" s="197" t="s">
        <v>3225</v>
      </c>
      <c r="F138" s="425"/>
      <c r="G138" s="20">
        <v>6831296722</v>
      </c>
      <c r="H138" s="426"/>
      <c r="I138" s="427"/>
    </row>
    <row r="139" spans="1:9" ht="21">
      <c r="A139" s="424">
        <v>176</v>
      </c>
      <c r="B139" s="261" t="s">
        <v>3228</v>
      </c>
      <c r="C139" s="317" t="s">
        <v>2595</v>
      </c>
      <c r="D139" s="388" t="s">
        <v>938</v>
      </c>
      <c r="E139" s="74" t="s">
        <v>3226</v>
      </c>
      <c r="F139" s="425"/>
      <c r="G139" s="20">
        <v>3853159386</v>
      </c>
      <c r="H139" s="426"/>
      <c r="I139" s="427"/>
    </row>
    <row r="140" spans="1:9" ht="21">
      <c r="A140" s="424">
        <v>177</v>
      </c>
      <c r="B140" s="261" t="s">
        <v>3228</v>
      </c>
      <c r="C140" s="317" t="s">
        <v>2595</v>
      </c>
      <c r="D140" s="388" t="s">
        <v>938</v>
      </c>
      <c r="E140" s="74" t="s">
        <v>3227</v>
      </c>
      <c r="F140" s="425"/>
      <c r="G140" s="20">
        <v>5930195063</v>
      </c>
      <c r="H140" s="426"/>
      <c r="I140" s="427"/>
    </row>
    <row r="141" spans="1:9" ht="21">
      <c r="A141" s="424">
        <v>178</v>
      </c>
      <c r="B141" s="261" t="s">
        <v>3230</v>
      </c>
      <c r="C141" s="387" t="s">
        <v>2576</v>
      </c>
      <c r="D141" s="388" t="s">
        <v>938</v>
      </c>
      <c r="E141" s="197" t="s">
        <v>3229</v>
      </c>
      <c r="F141" s="425"/>
      <c r="G141" s="20">
        <v>6267761000</v>
      </c>
      <c r="H141" s="426"/>
      <c r="I141" s="427"/>
    </row>
    <row r="142" spans="1:9" ht="21">
      <c r="A142" s="424">
        <v>179</v>
      </c>
      <c r="B142" s="261" t="s">
        <v>3235</v>
      </c>
      <c r="C142" s="387" t="s">
        <v>2576</v>
      </c>
      <c r="D142" s="388" t="s">
        <v>938</v>
      </c>
      <c r="E142" s="197" t="s">
        <v>3234</v>
      </c>
      <c r="F142" s="425"/>
      <c r="G142" s="20">
        <v>6397401000</v>
      </c>
      <c r="H142" s="426"/>
      <c r="I142" s="427"/>
    </row>
    <row r="143" spans="1:9" ht="21">
      <c r="A143" s="428">
        <v>180</v>
      </c>
      <c r="B143" s="261" t="s">
        <v>3236</v>
      </c>
      <c r="C143" s="317" t="s">
        <v>2595</v>
      </c>
      <c r="D143" s="388" t="s">
        <v>938</v>
      </c>
      <c r="E143" s="74" t="s">
        <v>3237</v>
      </c>
      <c r="F143" s="432"/>
      <c r="G143" s="20">
        <v>6064714595</v>
      </c>
      <c r="H143" s="433"/>
      <c r="I143" s="434"/>
    </row>
    <row r="144" spans="1:9" ht="21">
      <c r="A144" s="428">
        <v>181</v>
      </c>
      <c r="B144" s="261" t="s">
        <v>3236</v>
      </c>
      <c r="C144" s="317" t="s">
        <v>2595</v>
      </c>
      <c r="D144" s="388" t="s">
        <v>938</v>
      </c>
      <c r="E144" s="74" t="s">
        <v>3238</v>
      </c>
      <c r="F144" s="432"/>
      <c r="G144" s="20">
        <v>3957395666</v>
      </c>
      <c r="H144" s="433"/>
      <c r="I144" s="434"/>
    </row>
    <row r="145" spans="1:9" ht="21">
      <c r="A145" s="428">
        <v>182</v>
      </c>
      <c r="B145" s="261" t="s">
        <v>3239</v>
      </c>
      <c r="C145" s="317" t="s">
        <v>2595</v>
      </c>
      <c r="D145" s="388" t="s">
        <v>938</v>
      </c>
      <c r="E145" s="197" t="s">
        <v>3240</v>
      </c>
      <c r="F145" s="432"/>
      <c r="G145" s="20">
        <v>59616188</v>
      </c>
      <c r="H145" s="433"/>
      <c r="I145" s="434"/>
    </row>
    <row r="146" spans="1:9" ht="21">
      <c r="A146" s="428">
        <v>183</v>
      </c>
      <c r="B146" s="261" t="s">
        <v>3242</v>
      </c>
      <c r="C146" s="387" t="s">
        <v>2576</v>
      </c>
      <c r="D146" s="388" t="s">
        <v>938</v>
      </c>
      <c r="E146" s="197" t="s">
        <v>3241</v>
      </c>
      <c r="F146" s="432"/>
      <c r="G146" s="20">
        <v>7811560000</v>
      </c>
      <c r="H146" s="433"/>
      <c r="I146" s="434"/>
    </row>
    <row r="147" spans="1:9" ht="21">
      <c r="A147" s="428"/>
      <c r="B147" s="261" t="s">
        <v>3244</v>
      </c>
      <c r="C147" s="317" t="s">
        <v>2595</v>
      </c>
      <c r="D147" s="388" t="s">
        <v>938</v>
      </c>
      <c r="E147" s="74" t="s">
        <v>3243</v>
      </c>
      <c r="F147" s="432"/>
      <c r="G147" s="20">
        <v>5813647319</v>
      </c>
      <c r="H147" s="433"/>
      <c r="I147" s="434"/>
    </row>
    <row r="148" spans="1:9" ht="21">
      <c r="A148" s="428"/>
      <c r="B148" s="429"/>
      <c r="C148" s="430"/>
      <c r="D148" s="431"/>
      <c r="E148" s="197"/>
      <c r="F148" s="432"/>
      <c r="H148" s="433"/>
      <c r="I148" s="434"/>
    </row>
    <row r="149" spans="1:9" ht="21">
      <c r="A149" s="428"/>
      <c r="B149" s="429"/>
      <c r="C149" s="430"/>
      <c r="D149" s="431"/>
      <c r="E149" s="197"/>
      <c r="F149" s="432"/>
      <c r="H149" s="433"/>
      <c r="I149" s="434"/>
    </row>
    <row r="150" spans="1:9" ht="21">
      <c r="A150" s="428"/>
      <c r="B150" s="429"/>
      <c r="C150" s="430"/>
      <c r="D150" s="431"/>
      <c r="E150" s="197"/>
      <c r="F150" s="432"/>
      <c r="H150" s="433"/>
      <c r="I150" s="434"/>
    </row>
    <row r="151" spans="1:9" ht="21">
      <c r="A151" s="417"/>
      <c r="B151" s="418"/>
      <c r="C151" s="419"/>
      <c r="D151" s="420"/>
      <c r="E151" s="197"/>
      <c r="F151" s="421"/>
      <c r="H151" s="422"/>
      <c r="I151" s="423"/>
    </row>
    <row r="152" spans="1:9" ht="21">
      <c r="A152" s="417"/>
      <c r="B152" s="418"/>
      <c r="C152" s="419"/>
      <c r="D152" s="420"/>
      <c r="E152" s="197"/>
      <c r="F152" s="421"/>
      <c r="H152" s="422"/>
      <c r="I152" s="423"/>
    </row>
    <row r="153" spans="1:9" ht="21">
      <c r="A153" s="417"/>
      <c r="B153" s="418"/>
      <c r="C153" s="419"/>
      <c r="D153" s="420"/>
      <c r="E153" s="197"/>
      <c r="F153" s="421"/>
      <c r="H153" s="422"/>
      <c r="I153" s="423"/>
    </row>
    <row r="154" spans="1:9" ht="21">
      <c r="A154" s="417"/>
      <c r="B154" s="418"/>
      <c r="C154" s="419"/>
      <c r="D154" s="420"/>
      <c r="E154" s="197"/>
      <c r="F154" s="421"/>
      <c r="H154" s="422"/>
      <c r="I154" s="423"/>
    </row>
    <row r="155" spans="1:9" ht="21">
      <c r="A155" s="417"/>
      <c r="B155" s="418"/>
      <c r="C155" s="419"/>
      <c r="D155" s="420"/>
      <c r="E155" s="197"/>
      <c r="F155" s="421"/>
      <c r="H155" s="422"/>
      <c r="I155" s="423"/>
    </row>
    <row r="156" spans="1:9" ht="21">
      <c r="A156" s="1" t="s">
        <v>537</v>
      </c>
      <c r="B156" s="21"/>
      <c r="C156" s="317"/>
      <c r="D156" s="21"/>
      <c r="E156" s="78"/>
      <c r="F156" s="80">
        <f>SUBTOTAL(109,Table1456[مبلغ ورود])</f>
        <v>0</v>
      </c>
      <c r="G156" s="80">
        <f>SUBTOTAL(109,Table1456[مبلغ خروج])</f>
        <v>353583975964</v>
      </c>
      <c r="H156" s="159"/>
      <c r="I156" s="379"/>
    </row>
    <row r="157" spans="1:9">
      <c r="F157" s="19"/>
      <c r="G157" s="19"/>
      <c r="H157" s="19"/>
    </row>
    <row r="158" spans="1:9">
      <c r="F158" s="19"/>
      <c r="G158" s="19"/>
      <c r="H158" s="19"/>
    </row>
    <row r="159" spans="1:9">
      <c r="F159" s="19"/>
      <c r="G159" s="19"/>
      <c r="H159" s="19"/>
    </row>
  </sheetData>
  <mergeCells count="2">
    <mergeCell ref="A1:H1"/>
    <mergeCell ref="A2:H2"/>
  </mergeCells>
  <phoneticPr fontId="60" type="noConversion"/>
  <printOptions horizontalCentered="1"/>
  <pageMargins left="0.7" right="0.7" top="0.75" bottom="0.75" header="0.3" footer="0.3"/>
  <pageSetup paperSize="9" scale="24" fitToHeight="15" orientation="portrait" r:id="rId1"/>
  <headerFooter>
    <oddFooter>&amp;L&amp;P of&amp;N&amp;C&amp;"B Nazanin,Bold"&amp;10زینب امین زاده&amp;R&amp;D</oddFooter>
  </headerFooter>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G19"/>
  <sheetViews>
    <sheetView rightToLeft="1" view="pageBreakPreview" zoomScaleNormal="100" zoomScaleSheetLayoutView="100" workbookViewId="0">
      <selection activeCell="E9" sqref="E9:F9"/>
    </sheetView>
  </sheetViews>
  <sheetFormatPr defaultColWidth="9.140625" defaultRowHeight="18"/>
  <cols>
    <col min="1" max="1" width="11.140625" style="3" customWidth="1"/>
    <col min="2" max="2" width="29.5703125" style="3" customWidth="1"/>
    <col min="3" max="3" width="11.85546875" style="3" customWidth="1"/>
    <col min="4" max="4" width="25.5703125" style="3" customWidth="1"/>
    <col min="5" max="5" width="15.140625" style="3" customWidth="1"/>
    <col min="6" max="6" width="30.28515625" style="3" customWidth="1"/>
    <col min="7" max="7" width="9.140625" style="3" customWidth="1"/>
    <col min="8" max="16384" width="9.140625" style="3"/>
  </cols>
  <sheetData>
    <row r="1" spans="1:7" ht="18.75">
      <c r="A1" s="456" t="s">
        <v>7</v>
      </c>
      <c r="B1" s="457"/>
      <c r="C1" s="457"/>
      <c r="D1" s="457"/>
      <c r="E1" s="457"/>
      <c r="F1" s="457"/>
      <c r="G1" s="458"/>
    </row>
    <row r="2" spans="1:7" ht="18.75">
      <c r="A2" s="459" t="s">
        <v>732</v>
      </c>
      <c r="B2" s="460"/>
      <c r="C2" s="460"/>
      <c r="D2" s="460"/>
      <c r="E2" s="460"/>
      <c r="F2" s="460"/>
      <c r="G2" s="461"/>
    </row>
    <row r="3" spans="1:7" ht="15.75" customHeight="1">
      <c r="A3" s="459"/>
      <c r="B3" s="460"/>
      <c r="C3" s="460"/>
      <c r="D3" s="460"/>
      <c r="E3" s="460"/>
      <c r="F3" s="460"/>
      <c r="G3" s="461"/>
    </row>
    <row r="4" spans="1:7" ht="13.5" customHeight="1">
      <c r="A4" s="16"/>
      <c r="B4" s="17"/>
      <c r="C4" s="17"/>
      <c r="D4" s="17"/>
      <c r="E4" s="18" t="s">
        <v>8</v>
      </c>
      <c r="F4" s="462" t="str">
        <f>'1399'!B531</f>
        <v>1399/10/08</v>
      </c>
      <c r="G4" s="462"/>
    </row>
    <row r="5" spans="1:7" ht="18.75">
      <c r="A5" s="16"/>
      <c r="B5" s="17"/>
      <c r="C5" s="17"/>
      <c r="D5" s="17"/>
      <c r="E5" s="18" t="s">
        <v>9</v>
      </c>
      <c r="F5" s="463"/>
      <c r="G5" s="463"/>
    </row>
    <row r="6" spans="1:7" ht="25.5" customHeight="1" thickBot="1">
      <c r="A6" s="112" t="s">
        <v>10</v>
      </c>
      <c r="B6" s="113"/>
      <c r="C6" s="113"/>
      <c r="D6" s="113"/>
      <c r="E6" s="113"/>
      <c r="F6" s="113"/>
      <c r="G6" s="114"/>
    </row>
    <row r="7" spans="1:7" ht="3.75" customHeight="1" thickBot="1">
      <c r="A7" s="455"/>
      <c r="B7" s="455"/>
      <c r="C7" s="455"/>
      <c r="D7" s="455"/>
      <c r="E7" s="455"/>
      <c r="F7" s="455"/>
      <c r="G7" s="455"/>
    </row>
    <row r="8" spans="1:7" ht="6" customHeight="1" thickBot="1">
      <c r="A8" s="441"/>
      <c r="B8" s="442"/>
      <c r="C8" s="442"/>
      <c r="D8" s="442"/>
      <c r="E8" s="442"/>
      <c r="F8" s="442"/>
      <c r="G8" s="443"/>
    </row>
    <row r="9" spans="1:7" s="99" customFormat="1" ht="63.75" customHeight="1" thickBot="1">
      <c r="A9" s="105" t="s">
        <v>549</v>
      </c>
      <c r="B9" s="117">
        <f>'1399'!G531</f>
        <v>494250362</v>
      </c>
      <c r="C9" s="107" t="s">
        <v>11</v>
      </c>
      <c r="D9" s="111" t="s">
        <v>550</v>
      </c>
      <c r="E9" s="444" t="e">
        <f ca="1">[2]!abh(B9)</f>
        <v>#NAME?</v>
      </c>
      <c r="F9" s="445"/>
      <c r="G9" s="106" t="s">
        <v>11</v>
      </c>
    </row>
    <row r="10" spans="1:7" s="133" customFormat="1" ht="81.75" customHeight="1">
      <c r="A10" s="132" t="s">
        <v>12</v>
      </c>
      <c r="B10" s="464" t="str">
        <f>'1399'!E531</f>
        <v>پرداخت حقوق و دستمزد آذر ماه 1399 کارکنان شرکت پالایش میعانات گازی آدیش جنوبی طبق لیست پیوست</v>
      </c>
      <c r="C10" s="464"/>
      <c r="D10" s="464"/>
      <c r="E10" s="464"/>
      <c r="F10" s="464"/>
      <c r="G10" s="465"/>
    </row>
    <row r="11" spans="1:7" s="99" customFormat="1" ht="52.5" customHeight="1" thickBot="1">
      <c r="A11" s="108" t="s">
        <v>13</v>
      </c>
      <c r="B11" s="109" t="str">
        <f>'1399'!D20</f>
        <v>بانک اقتصادنوین</v>
      </c>
      <c r="C11" s="109"/>
      <c r="D11" s="110" t="s">
        <v>14</v>
      </c>
      <c r="E11" s="109"/>
      <c r="F11" s="468"/>
      <c r="G11" s="469"/>
    </row>
    <row r="12" spans="1:7" ht="3.75" customHeight="1" thickBot="1"/>
    <row r="13" spans="1:7" s="99" customFormat="1" ht="37.5" customHeight="1" thickBot="1">
      <c r="A13" s="115" t="s">
        <v>15</v>
      </c>
      <c r="B13" s="134">
        <f>'1399'!C531</f>
        <v>600566</v>
      </c>
      <c r="C13" s="116" t="s">
        <v>16</v>
      </c>
      <c r="D13" s="135" t="str">
        <f>'1399'!B531</f>
        <v>1399/10/08</v>
      </c>
      <c r="E13" s="116" t="s">
        <v>17</v>
      </c>
      <c r="F13" s="451" t="str">
        <f>'1399'!A2</f>
        <v>بانک اقتصاد نوین- حساب شماره 1-5278624-2-215</v>
      </c>
      <c r="G13" s="452"/>
    </row>
    <row r="14" spans="1:7" ht="3" customHeight="1" thickBot="1"/>
    <row r="15" spans="1:7" ht="19.5">
      <c r="A15" s="192" t="s">
        <v>20</v>
      </c>
      <c r="B15" s="12" t="s">
        <v>1438</v>
      </c>
      <c r="C15" s="11"/>
      <c r="D15" s="12" t="s">
        <v>21</v>
      </c>
      <c r="E15" s="12"/>
      <c r="F15" s="453" t="s">
        <v>22</v>
      </c>
      <c r="G15" s="454"/>
    </row>
    <row r="16" spans="1:7">
      <c r="A16" s="4"/>
      <c r="F16" s="436"/>
      <c r="G16" s="436"/>
    </row>
    <row r="17" spans="1:7" ht="24.75" customHeight="1" thickBot="1">
      <c r="A17" s="5"/>
      <c r="B17" s="6"/>
      <c r="C17" s="6"/>
      <c r="D17" s="6"/>
      <c r="E17" s="6"/>
      <c r="F17" s="437"/>
      <c r="G17" s="438"/>
    </row>
    <row r="18" spans="1:7" ht="3.75" customHeight="1" thickBot="1"/>
    <row r="19" spans="1:7" ht="74.25" customHeight="1" thickBot="1">
      <c r="A19" s="15" t="s">
        <v>23</v>
      </c>
      <c r="B19" s="14"/>
      <c r="C19" s="7"/>
      <c r="D19" s="13" t="s">
        <v>24</v>
      </c>
      <c r="E19" s="10"/>
      <c r="F19" s="439" t="s">
        <v>25</v>
      </c>
      <c r="G19" s="440"/>
    </row>
  </sheetData>
  <mergeCells count="15">
    <mergeCell ref="F16:G16"/>
    <mergeCell ref="F17:G17"/>
    <mergeCell ref="F19:G19"/>
    <mergeCell ref="A8:G8"/>
    <mergeCell ref="E9:F9"/>
    <mergeCell ref="B10:G10"/>
    <mergeCell ref="F11:G11"/>
    <mergeCell ref="F13:G13"/>
    <mergeCell ref="F15:G15"/>
    <mergeCell ref="A7:G7"/>
    <mergeCell ref="A1:G1"/>
    <mergeCell ref="A2:G2"/>
    <mergeCell ref="A3:G3"/>
    <mergeCell ref="F4:G4"/>
    <mergeCell ref="F5:G5"/>
  </mergeCells>
  <printOptions horizontalCentered="1"/>
  <pageMargins left="0.51181102362204722" right="0.51181102362204722" top="0.59055118110236227" bottom="0.59055118110236227" header="0.31496062992125984" footer="0.31496062992125984"/>
  <pageSetup paperSize="11" scale="6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G19"/>
  <sheetViews>
    <sheetView rightToLeft="1" view="pageBreakPreview" zoomScaleNormal="100" zoomScaleSheetLayoutView="100" workbookViewId="0">
      <selection activeCell="E9" sqref="E9:F9"/>
    </sheetView>
  </sheetViews>
  <sheetFormatPr defaultColWidth="9.140625" defaultRowHeight="18"/>
  <cols>
    <col min="1" max="1" width="11.140625" style="3" customWidth="1"/>
    <col min="2" max="2" width="29.5703125" style="3" customWidth="1"/>
    <col min="3" max="3" width="11.85546875" style="3" customWidth="1"/>
    <col min="4" max="4" width="25.5703125" style="3" customWidth="1"/>
    <col min="5" max="5" width="15.140625" style="3" customWidth="1"/>
    <col min="6" max="6" width="30.28515625" style="3" customWidth="1"/>
    <col min="7" max="7" width="9.140625" style="3" customWidth="1"/>
    <col min="8" max="16384" width="9.140625" style="3"/>
  </cols>
  <sheetData>
    <row r="1" spans="1:7" ht="18.75">
      <c r="A1" s="456" t="s">
        <v>7</v>
      </c>
      <c r="B1" s="457"/>
      <c r="C1" s="457"/>
      <c r="D1" s="457"/>
      <c r="E1" s="457"/>
      <c r="F1" s="457"/>
      <c r="G1" s="458"/>
    </row>
    <row r="2" spans="1:7" ht="18.75">
      <c r="A2" s="459" t="s">
        <v>732</v>
      </c>
      <c r="B2" s="460"/>
      <c r="C2" s="460"/>
      <c r="D2" s="460"/>
      <c r="E2" s="460"/>
      <c r="F2" s="460"/>
      <c r="G2" s="461"/>
    </row>
    <row r="3" spans="1:7" ht="15.75" customHeight="1">
      <c r="A3" s="459"/>
      <c r="B3" s="460"/>
      <c r="C3" s="460"/>
      <c r="D3" s="460"/>
      <c r="E3" s="460"/>
      <c r="F3" s="460"/>
      <c r="G3" s="461"/>
    </row>
    <row r="4" spans="1:7" ht="13.5" customHeight="1">
      <c r="A4" s="16"/>
      <c r="B4" s="17"/>
      <c r="C4" s="17"/>
      <c r="D4" s="17"/>
      <c r="E4" s="18" t="s">
        <v>8</v>
      </c>
      <c r="F4" s="462" t="str">
        <f>'1399'!B532</f>
        <v>1399/10/08</v>
      </c>
      <c r="G4" s="462"/>
    </row>
    <row r="5" spans="1:7" ht="18.75">
      <c r="A5" s="16"/>
      <c r="B5" s="17"/>
      <c r="C5" s="17"/>
      <c r="D5" s="17"/>
      <c r="E5" s="18" t="s">
        <v>9</v>
      </c>
      <c r="F5" s="463"/>
      <c r="G5" s="463"/>
    </row>
    <row r="6" spans="1:7" ht="25.5" customHeight="1" thickBot="1">
      <c r="A6" s="112" t="s">
        <v>10</v>
      </c>
      <c r="B6" s="113"/>
      <c r="C6" s="113"/>
      <c r="D6" s="113"/>
      <c r="E6" s="113"/>
      <c r="F6" s="113"/>
      <c r="G6" s="114"/>
    </row>
    <row r="7" spans="1:7" ht="3.75" customHeight="1" thickBot="1">
      <c r="A7" s="455"/>
      <c r="B7" s="455"/>
      <c r="C7" s="455"/>
      <c r="D7" s="455"/>
      <c r="E7" s="455"/>
      <c r="F7" s="455"/>
      <c r="G7" s="455"/>
    </row>
    <row r="8" spans="1:7" ht="6" customHeight="1" thickBot="1">
      <c r="A8" s="441"/>
      <c r="B8" s="442"/>
      <c r="C8" s="442"/>
      <c r="D8" s="442"/>
      <c r="E8" s="442"/>
      <c r="F8" s="442"/>
      <c r="G8" s="443"/>
    </row>
    <row r="9" spans="1:7" s="99" customFormat="1" ht="63.75" customHeight="1" thickBot="1">
      <c r="A9" s="105" t="s">
        <v>549</v>
      </c>
      <c r="B9" s="117">
        <f>'1399'!G392</f>
        <v>10000000000</v>
      </c>
      <c r="C9" s="107" t="s">
        <v>11</v>
      </c>
      <c r="D9" s="111" t="s">
        <v>550</v>
      </c>
      <c r="E9" s="444" t="e">
        <f ca="1">[2]!abh(B9)</f>
        <v>#NAME?</v>
      </c>
      <c r="F9" s="445"/>
      <c r="G9" s="106" t="s">
        <v>11</v>
      </c>
    </row>
    <row r="10" spans="1:7" s="133" customFormat="1" ht="95.25" customHeight="1">
      <c r="A10" s="132" t="s">
        <v>12</v>
      </c>
      <c r="B10" s="464" t="str">
        <f>'1399'!E392</f>
        <v>حواله ساتنا به حساب IR16 0180 0000 0000 0289 0416 64 نزد بانک تجارت شعبه مرکزی کد 40 بنام شرکت پالایش میعانات گازی آدیش جنوبی بابت تامین موجودی</v>
      </c>
      <c r="C10" s="464"/>
      <c r="D10" s="464"/>
      <c r="E10" s="464"/>
      <c r="F10" s="464"/>
      <c r="G10" s="465"/>
    </row>
    <row r="11" spans="1:7" s="99" customFormat="1" ht="52.5" customHeight="1" thickBot="1">
      <c r="A11" s="108" t="s">
        <v>13</v>
      </c>
      <c r="B11" s="109" t="str">
        <f>'1399'!D64</f>
        <v>بانک اقتصادنوین</v>
      </c>
      <c r="C11" s="109"/>
      <c r="D11" s="110" t="s">
        <v>14</v>
      </c>
      <c r="E11" s="109"/>
      <c r="F11" s="468"/>
      <c r="G11" s="469"/>
    </row>
    <row r="12" spans="1:7" ht="3.75" customHeight="1" thickBot="1"/>
    <row r="13" spans="1:7" s="99" customFormat="1" ht="37.5" customHeight="1" thickBot="1">
      <c r="A13" s="115" t="s">
        <v>15</v>
      </c>
      <c r="B13" s="134">
        <f>'1399'!C392</f>
        <v>313855</v>
      </c>
      <c r="C13" s="116" t="s">
        <v>16</v>
      </c>
      <c r="D13" s="135" t="str">
        <f>'1399'!B392</f>
        <v>1399/07/28</v>
      </c>
      <c r="E13" s="116" t="s">
        <v>17</v>
      </c>
      <c r="F13" s="451" t="str">
        <f>'1399'!A2</f>
        <v>بانک اقتصاد نوین- حساب شماره 1-5278624-2-215</v>
      </c>
      <c r="G13" s="452"/>
    </row>
    <row r="14" spans="1:7" ht="3" customHeight="1" thickBot="1"/>
    <row r="15" spans="1:7" ht="19.5">
      <c r="A15" s="8"/>
      <c r="B15" s="11" t="s">
        <v>20</v>
      </c>
      <c r="C15" s="11" t="s">
        <v>21</v>
      </c>
      <c r="D15" s="9"/>
      <c r="E15" s="12" t="s">
        <v>22</v>
      </c>
      <c r="F15" s="442"/>
      <c r="G15" s="443"/>
    </row>
    <row r="16" spans="1:7">
      <c r="A16" s="4"/>
      <c r="F16" s="436"/>
      <c r="G16" s="436"/>
    </row>
    <row r="17" spans="1:7" ht="24.75" customHeight="1" thickBot="1">
      <c r="A17" s="5"/>
      <c r="B17" s="6"/>
      <c r="C17" s="6"/>
      <c r="D17" s="6"/>
      <c r="E17" s="6"/>
      <c r="F17" s="437"/>
      <c r="G17" s="438"/>
    </row>
    <row r="18" spans="1:7" ht="3.75" customHeight="1" thickBot="1"/>
    <row r="19" spans="1:7" ht="74.25" customHeight="1" thickBot="1">
      <c r="A19" s="15" t="s">
        <v>23</v>
      </c>
      <c r="B19" s="14"/>
      <c r="C19" s="7"/>
      <c r="D19" s="13" t="s">
        <v>24</v>
      </c>
      <c r="E19" s="10"/>
      <c r="F19" s="439" t="s">
        <v>25</v>
      </c>
      <c r="G19" s="440"/>
    </row>
  </sheetData>
  <mergeCells count="15">
    <mergeCell ref="F16:G16"/>
    <mergeCell ref="F17:G17"/>
    <mergeCell ref="F19:G19"/>
    <mergeCell ref="A8:G8"/>
    <mergeCell ref="E9:F9"/>
    <mergeCell ref="B10:G10"/>
    <mergeCell ref="F11:G11"/>
    <mergeCell ref="F13:G13"/>
    <mergeCell ref="F15:G15"/>
    <mergeCell ref="A7:G7"/>
    <mergeCell ref="A1:G1"/>
    <mergeCell ref="A2:G2"/>
    <mergeCell ref="A3:G3"/>
    <mergeCell ref="F4:G4"/>
    <mergeCell ref="F5:G5"/>
  </mergeCells>
  <printOptions horizontalCentered="1"/>
  <pageMargins left="0.51181102362204722" right="0.51181102362204722" top="0.59055118110236227" bottom="0.59055118110236227" header="0.31496062992125984" footer="0.31496062992125984"/>
  <pageSetup paperSize="11" scale="66"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G19"/>
  <sheetViews>
    <sheetView rightToLeft="1" view="pageBreakPreview" zoomScaleNormal="100" zoomScaleSheetLayoutView="100" workbookViewId="0">
      <selection activeCell="E9" sqref="E9:F9"/>
    </sheetView>
  </sheetViews>
  <sheetFormatPr defaultColWidth="9.140625" defaultRowHeight="18"/>
  <cols>
    <col min="1" max="1" width="11.140625" style="3" customWidth="1"/>
    <col min="2" max="2" width="29.5703125" style="3" customWidth="1"/>
    <col min="3" max="3" width="11.85546875" style="3" customWidth="1"/>
    <col min="4" max="4" width="25.5703125" style="3" customWidth="1"/>
    <col min="5" max="5" width="15.140625" style="3" customWidth="1"/>
    <col min="6" max="6" width="30.28515625" style="3" customWidth="1"/>
    <col min="7" max="7" width="9.140625" style="3" customWidth="1"/>
    <col min="8" max="16384" width="9.140625" style="3"/>
  </cols>
  <sheetData>
    <row r="1" spans="1:7" ht="18.75">
      <c r="A1" s="456" t="s">
        <v>7</v>
      </c>
      <c r="B1" s="457"/>
      <c r="C1" s="457"/>
      <c r="D1" s="457"/>
      <c r="E1" s="457"/>
      <c r="F1" s="457"/>
      <c r="G1" s="458"/>
    </row>
    <row r="2" spans="1:7" ht="18.75">
      <c r="A2" s="459" t="s">
        <v>732</v>
      </c>
      <c r="B2" s="460"/>
      <c r="C2" s="460"/>
      <c r="D2" s="460"/>
      <c r="E2" s="460"/>
      <c r="F2" s="460"/>
      <c r="G2" s="461"/>
    </row>
    <row r="3" spans="1:7" ht="15.75" customHeight="1">
      <c r="A3" s="459"/>
      <c r="B3" s="460"/>
      <c r="C3" s="460"/>
      <c r="D3" s="460"/>
      <c r="E3" s="460"/>
      <c r="F3" s="460"/>
      <c r="G3" s="461"/>
    </row>
    <row r="4" spans="1:7" ht="13.5" customHeight="1">
      <c r="A4" s="16"/>
      <c r="B4" s="17"/>
      <c r="C4" s="17"/>
      <c r="D4" s="17"/>
      <c r="E4" s="18" t="s">
        <v>8</v>
      </c>
      <c r="F4" s="462" t="str">
        <f>'1399'!B392</f>
        <v>1399/07/28</v>
      </c>
      <c r="G4" s="462"/>
    </row>
    <row r="5" spans="1:7" ht="18.75">
      <c r="A5" s="16"/>
      <c r="B5" s="17"/>
      <c r="C5" s="17"/>
      <c r="D5" s="17"/>
      <c r="E5" s="18" t="s">
        <v>9</v>
      </c>
      <c r="F5" s="463"/>
      <c r="G5" s="463"/>
    </row>
    <row r="6" spans="1:7" ht="25.5" customHeight="1" thickBot="1">
      <c r="A6" s="112" t="s">
        <v>10</v>
      </c>
      <c r="B6" s="113"/>
      <c r="C6" s="113"/>
      <c r="D6" s="113"/>
      <c r="E6" s="113"/>
      <c r="F6" s="113"/>
      <c r="G6" s="114"/>
    </row>
    <row r="7" spans="1:7" ht="3.75" customHeight="1" thickBot="1">
      <c r="A7" s="455"/>
      <c r="B7" s="455"/>
      <c r="C7" s="455"/>
      <c r="D7" s="455"/>
      <c r="E7" s="455"/>
      <c r="F7" s="455"/>
      <c r="G7" s="455"/>
    </row>
    <row r="8" spans="1:7" ht="6" customHeight="1" thickBot="1">
      <c r="A8" s="441"/>
      <c r="B8" s="442"/>
      <c r="C8" s="442"/>
      <c r="D8" s="442"/>
      <c r="E8" s="442"/>
      <c r="F8" s="442"/>
      <c r="G8" s="443"/>
    </row>
    <row r="9" spans="1:7" s="99" customFormat="1" ht="63.75" customHeight="1" thickBot="1">
      <c r="A9" s="105" t="s">
        <v>549</v>
      </c>
      <c r="B9" s="117">
        <f>'1399'!G392</f>
        <v>10000000000</v>
      </c>
      <c r="C9" s="107" t="s">
        <v>11</v>
      </c>
      <c r="D9" s="111" t="s">
        <v>550</v>
      </c>
      <c r="E9" s="444" t="e">
        <f ca="1">[2]!abh(B9)</f>
        <v>#NAME?</v>
      </c>
      <c r="F9" s="445"/>
      <c r="G9" s="106" t="s">
        <v>11</v>
      </c>
    </row>
    <row r="10" spans="1:7" s="133" customFormat="1" ht="95.25" customHeight="1">
      <c r="A10" s="132" t="s">
        <v>12</v>
      </c>
      <c r="B10" s="464" t="str">
        <f>'1399'!E392</f>
        <v>حواله ساتنا به حساب IR16 0180 0000 0000 0289 0416 64 نزد بانک تجارت شعبه مرکزی کد 40 بنام شرکت پالایش میعانات گازی آدیش جنوبی بابت تامین موجودی</v>
      </c>
      <c r="C10" s="464"/>
      <c r="D10" s="464"/>
      <c r="E10" s="464"/>
      <c r="F10" s="464"/>
      <c r="G10" s="465"/>
    </row>
    <row r="11" spans="1:7" s="99" customFormat="1" ht="52.5" customHeight="1" thickBot="1">
      <c r="A11" s="108" t="s">
        <v>13</v>
      </c>
      <c r="B11" s="109" t="str">
        <f>'1399'!D64</f>
        <v>بانک اقتصادنوین</v>
      </c>
      <c r="C11" s="109"/>
      <c r="D11" s="110" t="s">
        <v>14</v>
      </c>
      <c r="E11" s="109"/>
      <c r="F11" s="468"/>
      <c r="G11" s="469"/>
    </row>
    <row r="12" spans="1:7" ht="3.75" customHeight="1" thickBot="1"/>
    <row r="13" spans="1:7" s="99" customFormat="1" ht="37.5" customHeight="1" thickBot="1">
      <c r="A13" s="115" t="s">
        <v>15</v>
      </c>
      <c r="B13" s="134">
        <f>'1399'!C392</f>
        <v>313855</v>
      </c>
      <c r="C13" s="116" t="s">
        <v>16</v>
      </c>
      <c r="D13" s="135" t="str">
        <f>'1399'!B392</f>
        <v>1399/07/28</v>
      </c>
      <c r="E13" s="116" t="s">
        <v>17</v>
      </c>
      <c r="F13" s="451" t="str">
        <f>'1399'!A2</f>
        <v>بانک اقتصاد نوین- حساب شماره 1-5278624-2-215</v>
      </c>
      <c r="G13" s="452"/>
    </row>
    <row r="14" spans="1:7" ht="3" customHeight="1" thickBot="1"/>
    <row r="15" spans="1:7" ht="19.5">
      <c r="A15" s="8"/>
      <c r="B15" s="11" t="s">
        <v>20</v>
      </c>
      <c r="C15" s="11" t="s">
        <v>21</v>
      </c>
      <c r="D15" s="9"/>
      <c r="E15" s="12" t="s">
        <v>22</v>
      </c>
      <c r="F15" s="442"/>
      <c r="G15" s="443"/>
    </row>
    <row r="16" spans="1:7">
      <c r="A16" s="4"/>
      <c r="F16" s="436"/>
      <c r="G16" s="436"/>
    </row>
    <row r="17" spans="1:7" ht="24.75" customHeight="1" thickBot="1">
      <c r="A17" s="5"/>
      <c r="B17" s="6"/>
      <c r="C17" s="6"/>
      <c r="D17" s="6"/>
      <c r="E17" s="6"/>
      <c r="F17" s="437"/>
      <c r="G17" s="438"/>
    </row>
    <row r="18" spans="1:7" ht="3.75" customHeight="1" thickBot="1"/>
    <row r="19" spans="1:7" ht="74.25" customHeight="1" thickBot="1">
      <c r="A19" s="15" t="s">
        <v>23</v>
      </c>
      <c r="B19" s="14"/>
      <c r="C19" s="7"/>
      <c r="D19" s="13" t="s">
        <v>24</v>
      </c>
      <c r="E19" s="10"/>
      <c r="F19" s="439" t="s">
        <v>25</v>
      </c>
      <c r="G19" s="440"/>
    </row>
  </sheetData>
  <mergeCells count="15">
    <mergeCell ref="F16:G16"/>
    <mergeCell ref="F17:G17"/>
    <mergeCell ref="F19:G19"/>
    <mergeCell ref="A8:G8"/>
    <mergeCell ref="E9:F9"/>
    <mergeCell ref="B10:G10"/>
    <mergeCell ref="F11:G11"/>
    <mergeCell ref="F13:G13"/>
    <mergeCell ref="F15:G15"/>
    <mergeCell ref="A7:G7"/>
    <mergeCell ref="A1:G1"/>
    <mergeCell ref="A2:G2"/>
    <mergeCell ref="A3:G3"/>
    <mergeCell ref="F4:G4"/>
    <mergeCell ref="F5:G5"/>
  </mergeCells>
  <printOptions horizontalCentered="1"/>
  <pageMargins left="0.51181102362204722" right="0.51181102362204722" top="0.59055118110236227" bottom="0.59055118110236227" header="0.31496062992125984" footer="0.31496062992125984"/>
  <pageSetup paperSize="11" scale="6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19"/>
  <sheetViews>
    <sheetView rightToLeft="1" view="pageBreakPreview" zoomScaleNormal="100" zoomScaleSheetLayoutView="100" workbookViewId="0">
      <selection activeCell="E9" sqref="E9:F9"/>
    </sheetView>
  </sheetViews>
  <sheetFormatPr defaultColWidth="9.140625" defaultRowHeight="18"/>
  <cols>
    <col min="1" max="1" width="11.140625" style="3" customWidth="1"/>
    <col min="2" max="2" width="29.5703125" style="3" customWidth="1"/>
    <col min="3" max="3" width="11.85546875" style="3" customWidth="1"/>
    <col min="4" max="4" width="25.5703125" style="3" customWidth="1"/>
    <col min="5" max="5" width="15.140625" style="3" customWidth="1"/>
    <col min="6" max="6" width="30.28515625" style="3" customWidth="1"/>
    <col min="7" max="7" width="9.140625" style="3" customWidth="1"/>
    <col min="8" max="16384" width="9.140625" style="3"/>
  </cols>
  <sheetData>
    <row r="1" spans="1:7" ht="18.75">
      <c r="A1" s="456" t="s">
        <v>7</v>
      </c>
      <c r="B1" s="457"/>
      <c r="C1" s="457"/>
      <c r="D1" s="457"/>
      <c r="E1" s="457"/>
      <c r="F1" s="457"/>
      <c r="G1" s="458"/>
    </row>
    <row r="2" spans="1:7" ht="18.75">
      <c r="A2" s="459" t="s">
        <v>732</v>
      </c>
      <c r="B2" s="460"/>
      <c r="C2" s="460"/>
      <c r="D2" s="460"/>
      <c r="E2" s="460"/>
      <c r="F2" s="460"/>
      <c r="G2" s="461"/>
    </row>
    <row r="3" spans="1:7" ht="15.75" customHeight="1">
      <c r="A3" s="459"/>
      <c r="B3" s="460"/>
      <c r="C3" s="460"/>
      <c r="D3" s="460"/>
      <c r="E3" s="460"/>
      <c r="F3" s="460"/>
      <c r="G3" s="461"/>
    </row>
    <row r="4" spans="1:7" ht="13.5" customHeight="1">
      <c r="A4" s="16"/>
      <c r="B4" s="17"/>
      <c r="C4" s="17"/>
      <c r="D4" s="17"/>
      <c r="E4" s="18" t="s">
        <v>8</v>
      </c>
      <c r="F4" s="462" t="str">
        <f>'1399'!B392</f>
        <v>1399/07/28</v>
      </c>
      <c r="G4" s="462"/>
    </row>
    <row r="5" spans="1:7" ht="18.75">
      <c r="A5" s="16"/>
      <c r="B5" s="17"/>
      <c r="C5" s="17"/>
      <c r="D5" s="17"/>
      <c r="E5" s="18" t="s">
        <v>9</v>
      </c>
      <c r="F5" s="463"/>
      <c r="G5" s="463"/>
    </row>
    <row r="6" spans="1:7" ht="25.5" customHeight="1" thickBot="1">
      <c r="A6" s="112" t="s">
        <v>10</v>
      </c>
      <c r="B6" s="113"/>
      <c r="C6" s="113"/>
      <c r="D6" s="113"/>
      <c r="E6" s="113"/>
      <c r="F6" s="113"/>
      <c r="G6" s="114"/>
    </row>
    <row r="7" spans="1:7" ht="3.75" customHeight="1" thickBot="1">
      <c r="A7" s="455"/>
      <c r="B7" s="455"/>
      <c r="C7" s="455"/>
      <c r="D7" s="455"/>
      <c r="E7" s="455"/>
      <c r="F7" s="455"/>
      <c r="G7" s="455"/>
    </row>
    <row r="8" spans="1:7" ht="6" customHeight="1" thickBot="1">
      <c r="A8" s="441"/>
      <c r="B8" s="442"/>
      <c r="C8" s="442"/>
      <c r="D8" s="442"/>
      <c r="E8" s="442"/>
      <c r="F8" s="442"/>
      <c r="G8" s="443"/>
    </row>
    <row r="9" spans="1:7" s="99" customFormat="1" ht="63.75" customHeight="1" thickBot="1">
      <c r="A9" s="105" t="s">
        <v>549</v>
      </c>
      <c r="B9" s="117">
        <f>'1399'!G392</f>
        <v>10000000000</v>
      </c>
      <c r="C9" s="107" t="s">
        <v>11</v>
      </c>
      <c r="D9" s="111" t="s">
        <v>550</v>
      </c>
      <c r="E9" s="444" t="e">
        <f ca="1">[2]!abh(B9)</f>
        <v>#NAME?</v>
      </c>
      <c r="F9" s="445"/>
      <c r="G9" s="106" t="s">
        <v>11</v>
      </c>
    </row>
    <row r="10" spans="1:7" s="133" customFormat="1" ht="95.25" customHeight="1">
      <c r="A10" s="132" t="s">
        <v>12</v>
      </c>
      <c r="B10" s="464" t="str">
        <f>'1399'!E392</f>
        <v>حواله ساتنا به حساب IR16 0180 0000 0000 0289 0416 64 نزد بانک تجارت شعبه مرکزی کد 40 بنام شرکت پالایش میعانات گازی آدیش جنوبی بابت تامین موجودی</v>
      </c>
      <c r="C10" s="464"/>
      <c r="D10" s="464"/>
      <c r="E10" s="464"/>
      <c r="F10" s="464"/>
      <c r="G10" s="465"/>
    </row>
    <row r="11" spans="1:7" s="99" customFormat="1" ht="52.5" customHeight="1" thickBot="1">
      <c r="A11" s="108" t="s">
        <v>13</v>
      </c>
      <c r="B11" s="109" t="str">
        <f>'1399'!D64</f>
        <v>بانک اقتصادنوین</v>
      </c>
      <c r="C11" s="109"/>
      <c r="D11" s="110" t="s">
        <v>14</v>
      </c>
      <c r="E11" s="109"/>
      <c r="F11" s="468"/>
      <c r="G11" s="469"/>
    </row>
    <row r="12" spans="1:7" ht="3.75" customHeight="1" thickBot="1"/>
    <row r="13" spans="1:7" s="99" customFormat="1" ht="37.5" customHeight="1" thickBot="1">
      <c r="A13" s="115" t="s">
        <v>15</v>
      </c>
      <c r="B13" s="134">
        <f>'1399'!C392</f>
        <v>313855</v>
      </c>
      <c r="C13" s="116" t="s">
        <v>16</v>
      </c>
      <c r="D13" s="135" t="str">
        <f>'1399'!B392</f>
        <v>1399/07/28</v>
      </c>
      <c r="E13" s="116" t="s">
        <v>17</v>
      </c>
      <c r="F13" s="451" t="str">
        <f>'1399'!A2</f>
        <v>بانک اقتصاد نوین- حساب شماره 1-5278624-2-215</v>
      </c>
      <c r="G13" s="452"/>
    </row>
    <row r="14" spans="1:7" ht="3" customHeight="1" thickBot="1"/>
    <row r="15" spans="1:7" ht="19.5">
      <c r="A15" s="8"/>
      <c r="B15" s="11" t="s">
        <v>20</v>
      </c>
      <c r="C15" s="11" t="s">
        <v>21</v>
      </c>
      <c r="D15" s="9"/>
      <c r="E15" s="12" t="s">
        <v>22</v>
      </c>
      <c r="F15" s="442"/>
      <c r="G15" s="443"/>
    </row>
    <row r="16" spans="1:7">
      <c r="A16" s="4"/>
      <c r="F16" s="436"/>
      <c r="G16" s="436"/>
    </row>
    <row r="17" spans="1:7" ht="24.75" customHeight="1" thickBot="1">
      <c r="A17" s="5"/>
      <c r="B17" s="6"/>
      <c r="C17" s="6"/>
      <c r="D17" s="6"/>
      <c r="E17" s="6"/>
      <c r="F17" s="437"/>
      <c r="G17" s="438"/>
    </row>
    <row r="18" spans="1:7" ht="3.75" customHeight="1" thickBot="1"/>
    <row r="19" spans="1:7" ht="74.25" customHeight="1" thickBot="1">
      <c r="A19" s="15" t="s">
        <v>23</v>
      </c>
      <c r="B19" s="14"/>
      <c r="C19" s="7"/>
      <c r="D19" s="13" t="s">
        <v>24</v>
      </c>
      <c r="E19" s="10"/>
      <c r="F19" s="439" t="s">
        <v>25</v>
      </c>
      <c r="G19" s="440"/>
    </row>
  </sheetData>
  <mergeCells count="15">
    <mergeCell ref="F16:G16"/>
    <mergeCell ref="F17:G17"/>
    <mergeCell ref="F19:G19"/>
    <mergeCell ref="A8:G8"/>
    <mergeCell ref="E9:F9"/>
    <mergeCell ref="B10:G10"/>
    <mergeCell ref="F11:G11"/>
    <mergeCell ref="F13:G13"/>
    <mergeCell ref="F15:G15"/>
    <mergeCell ref="A7:G7"/>
    <mergeCell ref="A1:G1"/>
    <mergeCell ref="A2:G2"/>
    <mergeCell ref="A3:G3"/>
    <mergeCell ref="F4:G4"/>
    <mergeCell ref="F5:G5"/>
  </mergeCells>
  <printOptions horizontalCentered="1"/>
  <pageMargins left="0.51181102362204722" right="0.51181102362204722" top="0.59055118110236227" bottom="0.59055118110236227" header="0.31496062992125984" footer="0.31496062992125984"/>
  <pageSetup paperSize="11" scale="6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G19"/>
  <sheetViews>
    <sheetView rightToLeft="1" view="pageBreakPreview" zoomScaleNormal="100" zoomScaleSheetLayoutView="100" workbookViewId="0">
      <selection activeCell="D14" sqref="D14"/>
    </sheetView>
  </sheetViews>
  <sheetFormatPr defaultColWidth="9.140625" defaultRowHeight="18"/>
  <cols>
    <col min="1" max="1" width="11.140625" style="3" customWidth="1"/>
    <col min="2" max="2" width="29.5703125" style="3" customWidth="1"/>
    <col min="3" max="3" width="11.85546875" style="3" customWidth="1"/>
    <col min="4" max="4" width="25.5703125" style="3" customWidth="1"/>
    <col min="5" max="5" width="15.140625" style="3" customWidth="1"/>
    <col min="6" max="6" width="30.28515625" style="3" customWidth="1"/>
    <col min="7" max="7" width="9.140625" style="3" customWidth="1"/>
    <col min="8" max="16384" width="9.140625" style="3"/>
  </cols>
  <sheetData>
    <row r="1" spans="1:7" ht="18.75">
      <c r="A1" s="456" t="s">
        <v>7</v>
      </c>
      <c r="B1" s="457"/>
      <c r="C1" s="457"/>
      <c r="D1" s="457"/>
      <c r="E1" s="457"/>
      <c r="F1" s="457"/>
      <c r="G1" s="458"/>
    </row>
    <row r="2" spans="1:7" ht="18.75">
      <c r="A2" s="459" t="s">
        <v>732</v>
      </c>
      <c r="B2" s="460"/>
      <c r="C2" s="460"/>
      <c r="D2" s="460"/>
      <c r="E2" s="460"/>
      <c r="F2" s="460"/>
      <c r="G2" s="461"/>
    </row>
    <row r="3" spans="1:7" ht="15.75" customHeight="1">
      <c r="A3" s="459"/>
      <c r="B3" s="460"/>
      <c r="C3" s="460"/>
      <c r="D3" s="460"/>
      <c r="E3" s="460"/>
      <c r="F3" s="460"/>
      <c r="G3" s="461"/>
    </row>
    <row r="4" spans="1:7" ht="13.5" customHeight="1">
      <c r="A4" s="16"/>
      <c r="B4" s="17"/>
      <c r="C4" s="17"/>
      <c r="D4" s="17"/>
      <c r="E4" s="18" t="s">
        <v>8</v>
      </c>
      <c r="F4" s="462" t="str">
        <f>'آقای صفائی فراهانی'!B120</f>
        <v>1403/07/14</v>
      </c>
      <c r="G4" s="462"/>
    </row>
    <row r="5" spans="1:7" ht="18.75">
      <c r="A5" s="16"/>
      <c r="B5" s="17"/>
      <c r="C5" s="17"/>
      <c r="D5" s="17"/>
      <c r="E5" s="18" t="s">
        <v>9</v>
      </c>
      <c r="F5" s="463"/>
      <c r="G5" s="463"/>
    </row>
    <row r="6" spans="1:7" ht="25.5" customHeight="1" thickBot="1">
      <c r="A6" s="112" t="s">
        <v>10</v>
      </c>
      <c r="B6" s="113"/>
      <c r="C6" s="113"/>
      <c r="D6" s="113"/>
      <c r="E6" s="113"/>
      <c r="F6" s="113"/>
      <c r="G6" s="114"/>
    </row>
    <row r="7" spans="1:7" ht="3.75" customHeight="1" thickBot="1">
      <c r="A7" s="455"/>
      <c r="B7" s="455"/>
      <c r="C7" s="455"/>
      <c r="D7" s="455"/>
      <c r="E7" s="455"/>
      <c r="F7" s="455"/>
      <c r="G7" s="455"/>
    </row>
    <row r="8" spans="1:7" ht="6" customHeight="1" thickBot="1">
      <c r="A8" s="441"/>
      <c r="B8" s="442"/>
      <c r="C8" s="442"/>
      <c r="D8" s="442"/>
      <c r="E8" s="442"/>
      <c r="F8" s="442"/>
      <c r="G8" s="443"/>
    </row>
    <row r="9" spans="1:7" s="99" customFormat="1" ht="63.75" customHeight="1" thickBot="1">
      <c r="A9" s="105" t="s">
        <v>549</v>
      </c>
      <c r="B9" s="117">
        <f>'آقای صفائی فراهانی'!G120</f>
        <v>4334606689</v>
      </c>
      <c r="C9" s="107" t="s">
        <v>11</v>
      </c>
      <c r="D9" s="111" t="s">
        <v>550</v>
      </c>
      <c r="E9" s="444"/>
      <c r="F9" s="445"/>
      <c r="G9" s="106" t="s">
        <v>11</v>
      </c>
    </row>
    <row r="10" spans="1:7" s="133" customFormat="1" ht="95.25" customHeight="1">
      <c r="A10" s="132" t="s">
        <v>12</v>
      </c>
      <c r="B10" s="464" t="str">
        <f>'آقای صفائی فراهانی'!E120</f>
        <v xml:space="preserve"> پرداخت مابه التفاوت هزینه های مهندسی شهریور ماه 1403 کارکنان شرکت طبق لیست پیوست</v>
      </c>
      <c r="C10" s="464"/>
      <c r="D10" s="464"/>
      <c r="E10" s="464"/>
      <c r="F10" s="464"/>
      <c r="G10" s="465"/>
    </row>
    <row r="11" spans="1:7" s="99" customFormat="1" ht="52.5" customHeight="1" thickBot="1">
      <c r="A11" s="108" t="s">
        <v>13</v>
      </c>
      <c r="B11" s="109" t="str">
        <f>'1399'!D64</f>
        <v>بانک اقتصادنوین</v>
      </c>
      <c r="C11" s="109"/>
      <c r="D11" s="110" t="s">
        <v>14</v>
      </c>
      <c r="E11" s="109"/>
      <c r="F11" s="468"/>
      <c r="G11" s="469"/>
    </row>
    <row r="12" spans="1:7" ht="3.75" customHeight="1" thickBot="1"/>
    <row r="13" spans="1:7" s="99" customFormat="1" ht="37.5" customHeight="1" thickBot="1">
      <c r="A13" s="115" t="s">
        <v>15</v>
      </c>
      <c r="B13" s="134" t="str">
        <f>'آقای صفائی فراهانی'!C120</f>
        <v>فیش واریزی</v>
      </c>
      <c r="C13" s="116" t="s">
        <v>16</v>
      </c>
      <c r="D13" s="135" t="str">
        <f>'آقای صفائی فراهانی'!B120</f>
        <v>1403/07/14</v>
      </c>
      <c r="E13" s="116" t="s">
        <v>17</v>
      </c>
      <c r="F13" s="451" t="s">
        <v>3028</v>
      </c>
      <c r="G13" s="452"/>
    </row>
    <row r="14" spans="1:7" ht="3" customHeight="1" thickBot="1"/>
    <row r="15" spans="1:7" ht="19.5">
      <c r="A15" s="8"/>
      <c r="B15" s="11" t="s">
        <v>20</v>
      </c>
      <c r="C15" s="11" t="s">
        <v>21</v>
      </c>
      <c r="D15" s="9"/>
      <c r="E15" s="12" t="s">
        <v>22</v>
      </c>
      <c r="F15" s="442"/>
      <c r="G15" s="443"/>
    </row>
    <row r="16" spans="1:7">
      <c r="A16" s="4"/>
      <c r="F16" s="436"/>
      <c r="G16" s="436"/>
    </row>
    <row r="17" spans="1:7" ht="24.75" customHeight="1" thickBot="1">
      <c r="A17" s="5"/>
      <c r="B17" s="6"/>
      <c r="C17" s="6"/>
      <c r="D17" s="6"/>
      <c r="E17" s="6"/>
      <c r="F17" s="437"/>
      <c r="G17" s="438"/>
    </row>
    <row r="18" spans="1:7" ht="3.75" customHeight="1" thickBot="1"/>
    <row r="19" spans="1:7" ht="74.25" customHeight="1" thickBot="1">
      <c r="A19" s="15" t="s">
        <v>23</v>
      </c>
      <c r="B19" s="14"/>
      <c r="C19" s="7"/>
      <c r="D19" s="13" t="s">
        <v>24</v>
      </c>
      <c r="E19" s="10"/>
      <c r="F19" s="439" t="s">
        <v>25</v>
      </c>
      <c r="G19" s="440"/>
    </row>
  </sheetData>
  <mergeCells count="15">
    <mergeCell ref="F16:G16"/>
    <mergeCell ref="F17:G17"/>
    <mergeCell ref="F19:G19"/>
    <mergeCell ref="A8:G8"/>
    <mergeCell ref="E9:F9"/>
    <mergeCell ref="B10:G10"/>
    <mergeCell ref="F11:G11"/>
    <mergeCell ref="F13:G13"/>
    <mergeCell ref="F15:G15"/>
    <mergeCell ref="A7:G7"/>
    <mergeCell ref="A1:G1"/>
    <mergeCell ref="A2:G2"/>
    <mergeCell ref="A3:G3"/>
    <mergeCell ref="F4:G4"/>
    <mergeCell ref="F5:G5"/>
  </mergeCells>
  <printOptions horizontalCentered="1"/>
  <pageMargins left="0.51181102362204722" right="0.51181102362204722" top="0.59055118110236227" bottom="0.59055118110236227" header="0.31496062992125984" footer="0.31496062992125984"/>
  <pageSetup paperSize="11" scale="66"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A1:G19"/>
  <sheetViews>
    <sheetView rightToLeft="1" view="pageBreakPreview" zoomScaleNormal="100" zoomScaleSheetLayoutView="100" workbookViewId="0">
      <selection activeCell="D14" sqref="D14"/>
    </sheetView>
  </sheetViews>
  <sheetFormatPr defaultColWidth="9.140625" defaultRowHeight="18"/>
  <cols>
    <col min="1" max="1" width="11.140625" style="3" customWidth="1"/>
    <col min="2" max="2" width="29.5703125" style="3" customWidth="1"/>
    <col min="3" max="3" width="11.85546875" style="3" customWidth="1"/>
    <col min="4" max="4" width="25.5703125" style="3" customWidth="1"/>
    <col min="5" max="5" width="15.140625" style="3" customWidth="1"/>
    <col min="6" max="6" width="30.28515625" style="3" customWidth="1"/>
    <col min="7" max="7" width="15.7109375" style="3" customWidth="1"/>
    <col min="8" max="16384" width="9.140625" style="3"/>
  </cols>
  <sheetData>
    <row r="1" spans="1:7" ht="18.75">
      <c r="A1" s="456" t="s">
        <v>7</v>
      </c>
      <c r="B1" s="457"/>
      <c r="C1" s="457"/>
      <c r="D1" s="457"/>
      <c r="E1" s="457"/>
      <c r="F1" s="457"/>
      <c r="G1" s="458"/>
    </row>
    <row r="2" spans="1:7" ht="18.75">
      <c r="A2" s="459" t="s">
        <v>732</v>
      </c>
      <c r="B2" s="460"/>
      <c r="C2" s="460"/>
      <c r="D2" s="460"/>
      <c r="E2" s="460"/>
      <c r="F2" s="460"/>
      <c r="G2" s="461"/>
    </row>
    <row r="3" spans="1:7" ht="15.75" customHeight="1">
      <c r="A3" s="459"/>
      <c r="B3" s="460"/>
      <c r="C3" s="460"/>
      <c r="D3" s="460"/>
      <c r="E3" s="460"/>
      <c r="F3" s="460"/>
      <c r="G3" s="461"/>
    </row>
    <row r="4" spans="1:7" ht="13.5" customHeight="1">
      <c r="A4" s="16"/>
      <c r="B4" s="17"/>
      <c r="C4" s="17"/>
      <c r="D4" s="17"/>
      <c r="E4" s="18" t="s">
        <v>8</v>
      </c>
      <c r="F4" s="462" t="str">
        <f>'آقای صفائی فراهانی'!B147</f>
        <v>1403/12/27</v>
      </c>
      <c r="G4" s="462"/>
    </row>
    <row r="5" spans="1:7" ht="18.75">
      <c r="A5" s="16"/>
      <c r="B5" s="17"/>
      <c r="C5" s="17"/>
      <c r="D5" s="17"/>
      <c r="E5" s="18" t="s">
        <v>9</v>
      </c>
      <c r="F5" s="463"/>
      <c r="G5" s="463"/>
    </row>
    <row r="6" spans="1:7" ht="25.5" customHeight="1" thickBot="1">
      <c r="A6" s="112" t="s">
        <v>10</v>
      </c>
      <c r="B6" s="113"/>
      <c r="C6" s="113"/>
      <c r="D6" s="113"/>
      <c r="E6" s="113"/>
      <c r="F6" s="113"/>
      <c r="G6" s="114"/>
    </row>
    <row r="7" spans="1:7" ht="3.75" customHeight="1" thickBot="1">
      <c r="A7" s="455"/>
      <c r="B7" s="455"/>
      <c r="C7" s="455"/>
      <c r="D7" s="455"/>
      <c r="E7" s="455"/>
      <c r="F7" s="455"/>
      <c r="G7" s="455"/>
    </row>
    <row r="8" spans="1:7" ht="6" customHeight="1" thickBot="1">
      <c r="A8" s="441"/>
      <c r="B8" s="442"/>
      <c r="C8" s="442"/>
      <c r="D8" s="442"/>
      <c r="E8" s="442"/>
      <c r="F8" s="442"/>
      <c r="G8" s="443"/>
    </row>
    <row r="9" spans="1:7" s="99" customFormat="1" ht="63.75" customHeight="1" thickBot="1">
      <c r="A9" s="105" t="s">
        <v>549</v>
      </c>
      <c r="B9" s="117">
        <f>'آقای صفائی فراهانی'!G147</f>
        <v>5813647319</v>
      </c>
      <c r="C9" s="107" t="s">
        <v>11</v>
      </c>
      <c r="D9" s="111" t="s">
        <v>550</v>
      </c>
      <c r="E9" s="444" t="s">
        <v>3245</v>
      </c>
      <c r="F9" s="445"/>
      <c r="G9" s="106" t="s">
        <v>11</v>
      </c>
    </row>
    <row r="10" spans="1:7" s="133" customFormat="1" ht="95.25" customHeight="1">
      <c r="A10" s="132" t="s">
        <v>12</v>
      </c>
      <c r="B10" s="464" t="str">
        <f>'آقای صفائی فراهانی'!E147</f>
        <v xml:space="preserve"> پرداخت مابه التفاوت حقوق و دستمزد اسفند  ماه 1403 کارکنان شرکت طبق لیست پیوست</v>
      </c>
      <c r="C10" s="464"/>
      <c r="D10" s="464"/>
      <c r="E10" s="464"/>
      <c r="F10" s="464"/>
      <c r="G10" s="465"/>
    </row>
    <row r="11" spans="1:7" s="99" customFormat="1" ht="52.5" customHeight="1" thickBot="1">
      <c r="A11" s="108" t="s">
        <v>13</v>
      </c>
      <c r="B11" s="109" t="str">
        <f>'1399'!D64</f>
        <v>بانک اقتصادنوین</v>
      </c>
      <c r="C11" s="109"/>
      <c r="D11" s="110" t="s">
        <v>14</v>
      </c>
      <c r="E11" s="109"/>
      <c r="F11" s="468"/>
      <c r="G11" s="469"/>
    </row>
    <row r="12" spans="1:7" ht="3.75" customHeight="1" thickBot="1"/>
    <row r="13" spans="1:7" s="99" customFormat="1" ht="37.5" customHeight="1" thickBot="1">
      <c r="A13" s="115" t="s">
        <v>15</v>
      </c>
      <c r="B13" s="134" t="str">
        <f>'آقای صفائی فراهانی'!C147</f>
        <v>فیش واریزی</v>
      </c>
      <c r="C13" s="116" t="s">
        <v>16</v>
      </c>
      <c r="D13" s="135" t="str">
        <f>'آقای صفائی فراهانی'!B147</f>
        <v>1403/12/27</v>
      </c>
      <c r="E13" s="116" t="s">
        <v>17</v>
      </c>
      <c r="F13" s="451" t="s">
        <v>3028</v>
      </c>
      <c r="G13" s="452"/>
    </row>
    <row r="14" spans="1:7" ht="3" customHeight="1" thickBot="1">
      <c r="D14" s="3" t="s">
        <v>3037</v>
      </c>
    </row>
    <row r="15" spans="1:7" ht="19.5">
      <c r="A15" s="8"/>
      <c r="B15" s="11" t="s">
        <v>20</v>
      </c>
      <c r="C15" s="11" t="s">
        <v>21</v>
      </c>
      <c r="D15" s="9"/>
      <c r="E15" s="12" t="s">
        <v>22</v>
      </c>
      <c r="F15" s="442"/>
      <c r="G15" s="443"/>
    </row>
    <row r="16" spans="1:7">
      <c r="A16" s="4"/>
      <c r="F16" s="436"/>
      <c r="G16" s="436"/>
    </row>
    <row r="17" spans="1:7" ht="24.75" customHeight="1" thickBot="1">
      <c r="A17" s="5"/>
      <c r="B17" s="6"/>
      <c r="C17" s="6"/>
      <c r="D17" s="6"/>
      <c r="E17" s="6"/>
      <c r="F17" s="437"/>
      <c r="G17" s="438"/>
    </row>
    <row r="18" spans="1:7" ht="3.75" customHeight="1" thickBot="1"/>
    <row r="19" spans="1:7" ht="74.25" customHeight="1" thickBot="1">
      <c r="A19" s="15" t="s">
        <v>23</v>
      </c>
      <c r="B19" s="14"/>
      <c r="C19" s="7"/>
      <c r="D19" s="13" t="s">
        <v>24</v>
      </c>
      <c r="E19" s="10"/>
      <c r="F19" s="439" t="s">
        <v>25</v>
      </c>
      <c r="G19" s="440"/>
    </row>
  </sheetData>
  <mergeCells count="15">
    <mergeCell ref="F16:G16"/>
    <mergeCell ref="F17:G17"/>
    <mergeCell ref="F19:G19"/>
    <mergeCell ref="A8:G8"/>
    <mergeCell ref="E9:F9"/>
    <mergeCell ref="B10:G10"/>
    <mergeCell ref="F11:G11"/>
    <mergeCell ref="F13:G13"/>
    <mergeCell ref="F15:G15"/>
    <mergeCell ref="A7:G7"/>
    <mergeCell ref="A1:G1"/>
    <mergeCell ref="A2:G2"/>
    <mergeCell ref="A3:G3"/>
    <mergeCell ref="F4:G4"/>
    <mergeCell ref="F5:G5"/>
  </mergeCells>
  <printOptions horizontalCentered="1"/>
  <pageMargins left="0.51181102362204722" right="0.51181102362204722" top="0.59055118110236227" bottom="0.59055118110236227" header="0.31496062992125984" footer="0.31496062992125984"/>
  <pageSetup paperSize="11" scale="66"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C33"/>
  <sheetViews>
    <sheetView workbookViewId="0">
      <selection activeCell="C31" sqref="C31:C33"/>
    </sheetView>
  </sheetViews>
  <sheetFormatPr defaultRowHeight="15"/>
  <cols>
    <col min="2" max="2" width="9.140625" style="131"/>
    <col min="3" max="3" width="13.5703125" style="131" bestFit="1" customWidth="1"/>
  </cols>
  <sheetData>
    <row r="1" spans="1:3">
      <c r="A1">
        <v>48</v>
      </c>
      <c r="B1" s="131">
        <v>3140000</v>
      </c>
      <c r="C1" s="131">
        <f>B1*A1</f>
        <v>150720000</v>
      </c>
    </row>
    <row r="2" spans="1:3">
      <c r="A2">
        <v>2</v>
      </c>
      <c r="B2" s="131">
        <v>146000</v>
      </c>
      <c r="C2" s="131">
        <f t="shared" ref="C2:C28" si="0">B2*A2</f>
        <v>292000</v>
      </c>
    </row>
    <row r="3" spans="1:3">
      <c r="A3">
        <v>144</v>
      </c>
      <c r="B3" s="131">
        <v>4265000</v>
      </c>
      <c r="C3" s="131">
        <f t="shared" si="0"/>
        <v>614160000</v>
      </c>
    </row>
    <row r="4" spans="1:3">
      <c r="A4">
        <v>4</v>
      </c>
      <c r="B4" s="131">
        <v>146000</v>
      </c>
      <c r="C4" s="131">
        <f t="shared" si="0"/>
        <v>584000</v>
      </c>
    </row>
    <row r="5" spans="1:3">
      <c r="A5">
        <v>216</v>
      </c>
      <c r="B5" s="131">
        <v>6250000</v>
      </c>
      <c r="C5" s="131">
        <f t="shared" si="0"/>
        <v>1350000000</v>
      </c>
    </row>
    <row r="6" spans="1:3">
      <c r="A6">
        <v>4</v>
      </c>
      <c r="B6" s="131">
        <v>146000</v>
      </c>
      <c r="C6" s="131">
        <f t="shared" si="0"/>
        <v>584000</v>
      </c>
    </row>
    <row r="7" spans="1:3">
      <c r="A7">
        <v>48</v>
      </c>
      <c r="B7" s="131">
        <v>1850000</v>
      </c>
      <c r="C7" s="131">
        <f t="shared" si="0"/>
        <v>88800000</v>
      </c>
    </row>
    <row r="8" spans="1:3">
      <c r="A8">
        <v>64</v>
      </c>
      <c r="B8" s="131">
        <v>6250000</v>
      </c>
      <c r="C8" s="131">
        <f t="shared" si="0"/>
        <v>400000000</v>
      </c>
    </row>
    <row r="9" spans="1:3">
      <c r="A9">
        <v>4</v>
      </c>
      <c r="B9" s="131">
        <v>146000</v>
      </c>
      <c r="C9" s="131">
        <f t="shared" si="0"/>
        <v>584000</v>
      </c>
    </row>
    <row r="10" spans="1:3">
      <c r="A10">
        <v>36</v>
      </c>
      <c r="B10" s="131">
        <v>1850000</v>
      </c>
      <c r="C10" s="131">
        <f t="shared" si="0"/>
        <v>66600000</v>
      </c>
    </row>
    <row r="11" spans="1:3">
      <c r="A11">
        <v>36</v>
      </c>
      <c r="B11" s="131">
        <v>4265000</v>
      </c>
      <c r="C11" s="131">
        <f t="shared" si="0"/>
        <v>153540000</v>
      </c>
    </row>
    <row r="12" spans="1:3">
      <c r="A12">
        <v>4</v>
      </c>
      <c r="B12" s="131">
        <v>146000</v>
      </c>
      <c r="C12" s="131">
        <f t="shared" si="0"/>
        <v>584000</v>
      </c>
    </row>
    <row r="13" spans="1:3">
      <c r="A13">
        <v>48</v>
      </c>
      <c r="B13" s="131">
        <v>3140000</v>
      </c>
      <c r="C13" s="131">
        <f t="shared" si="0"/>
        <v>150720000</v>
      </c>
    </row>
    <row r="14" spans="1:3">
      <c r="A14">
        <v>64</v>
      </c>
      <c r="B14" s="131">
        <v>6250000</v>
      </c>
      <c r="C14" s="131">
        <f t="shared" si="0"/>
        <v>400000000</v>
      </c>
    </row>
    <row r="15" spans="1:3">
      <c r="A15">
        <v>4</v>
      </c>
      <c r="B15" s="131">
        <v>146000</v>
      </c>
      <c r="C15" s="131">
        <f t="shared" si="0"/>
        <v>584000</v>
      </c>
    </row>
    <row r="16" spans="1:3">
      <c r="A16">
        <v>120</v>
      </c>
      <c r="B16" s="131">
        <v>3140000</v>
      </c>
      <c r="C16" s="131">
        <f t="shared" si="0"/>
        <v>376800000</v>
      </c>
    </row>
    <row r="17" spans="1:3">
      <c r="A17">
        <v>16</v>
      </c>
      <c r="B17" s="131">
        <v>4265000</v>
      </c>
      <c r="C17" s="131">
        <f t="shared" si="0"/>
        <v>68240000</v>
      </c>
    </row>
    <row r="18" spans="1:3">
      <c r="A18">
        <v>4</v>
      </c>
      <c r="B18" s="131">
        <v>146000</v>
      </c>
      <c r="C18" s="131">
        <f t="shared" si="0"/>
        <v>584000</v>
      </c>
    </row>
    <row r="19" spans="1:3">
      <c r="A19">
        <v>48</v>
      </c>
      <c r="B19" s="131">
        <v>4265000</v>
      </c>
      <c r="C19" s="131">
        <f t="shared" si="0"/>
        <v>204720000</v>
      </c>
    </row>
    <row r="20" spans="1:3">
      <c r="A20">
        <v>24</v>
      </c>
      <c r="B20" s="131">
        <v>3140000</v>
      </c>
      <c r="C20" s="131">
        <f t="shared" si="0"/>
        <v>75360000</v>
      </c>
    </row>
    <row r="21" spans="1:3">
      <c r="A21">
        <v>2</v>
      </c>
      <c r="B21" s="131">
        <v>146000</v>
      </c>
      <c r="C21" s="131">
        <f t="shared" si="0"/>
        <v>292000</v>
      </c>
    </row>
    <row r="22" spans="1:3">
      <c r="A22">
        <v>4</v>
      </c>
      <c r="B22" s="131">
        <v>3500000</v>
      </c>
      <c r="C22" s="131">
        <f t="shared" si="0"/>
        <v>14000000</v>
      </c>
    </row>
    <row r="23" spans="1:3">
      <c r="A23">
        <v>32</v>
      </c>
      <c r="B23" s="131">
        <v>1260000</v>
      </c>
      <c r="C23" s="131">
        <f t="shared" si="0"/>
        <v>40320000</v>
      </c>
    </row>
    <row r="24" spans="1:3">
      <c r="A24">
        <v>16</v>
      </c>
      <c r="B24" s="131">
        <v>1260000</v>
      </c>
      <c r="C24" s="131">
        <f t="shared" si="0"/>
        <v>20160000</v>
      </c>
    </row>
    <row r="25" spans="1:3">
      <c r="A25">
        <v>8</v>
      </c>
      <c r="B25" s="131">
        <v>750000</v>
      </c>
      <c r="C25" s="131">
        <f t="shared" si="0"/>
        <v>6000000</v>
      </c>
    </row>
    <row r="26" spans="1:3">
      <c r="A26">
        <v>8</v>
      </c>
      <c r="B26" s="131">
        <v>1260000</v>
      </c>
      <c r="C26" s="131">
        <f t="shared" si="0"/>
        <v>10080000</v>
      </c>
    </row>
    <row r="27" spans="1:3">
      <c r="A27">
        <v>8</v>
      </c>
      <c r="B27" s="131">
        <v>1260000</v>
      </c>
      <c r="C27" s="131">
        <f t="shared" si="0"/>
        <v>10080000</v>
      </c>
    </row>
    <row r="28" spans="1:3">
      <c r="A28">
        <v>4</v>
      </c>
      <c r="B28" s="131">
        <v>750000</v>
      </c>
      <c r="C28" s="131">
        <f t="shared" si="0"/>
        <v>3000000</v>
      </c>
    </row>
    <row r="29" spans="1:3">
      <c r="C29" s="131">
        <f>SUM(C1:C28)</f>
        <v>4207388000</v>
      </c>
    </row>
    <row r="30" spans="1:3">
      <c r="C30" s="131">
        <f>C29*9%</f>
        <v>378664920</v>
      </c>
    </row>
    <row r="31" spans="1:3">
      <c r="C31" s="131">
        <f>SUM(C29:C30)</f>
        <v>4586052920</v>
      </c>
    </row>
    <row r="32" spans="1:3">
      <c r="C32" s="131">
        <v>-1091654000</v>
      </c>
    </row>
    <row r="33" spans="3:3">
      <c r="C33" s="131">
        <f>SUM(C31:C32)</f>
        <v>3494398920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9D2C2-1F87-4BAC-B9CD-D0272359F83A}">
  <dimension ref="A1"/>
  <sheetViews>
    <sheetView workbookViewId="0">
      <selection activeCell="R21" sqref="R21"/>
    </sheetView>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914"/>
  <sheetViews>
    <sheetView rightToLeft="1" view="pageBreakPreview" topLeftCell="A769" zoomScaleNormal="100" zoomScaleSheetLayoutView="100" workbookViewId="0">
      <selection activeCell="E706" sqref="E706"/>
    </sheetView>
  </sheetViews>
  <sheetFormatPr defaultColWidth="9.140625" defaultRowHeight="42.75" customHeight="1"/>
  <cols>
    <col min="1" max="1" width="5.42578125" style="19" customWidth="1"/>
    <col min="2" max="2" width="13.28515625" style="19" customWidth="1"/>
    <col min="3" max="3" width="12.85546875" style="19" bestFit="1" customWidth="1"/>
    <col min="4" max="4" width="16.42578125" style="19" customWidth="1"/>
    <col min="5" max="5" width="79.140625" style="19" customWidth="1"/>
    <col min="6" max="6" width="20.28515625" style="73" customWidth="1"/>
    <col min="7" max="8" width="20.28515625" style="20" customWidth="1"/>
    <col min="9" max="16384" width="9.140625" style="19"/>
  </cols>
  <sheetData>
    <row r="1" spans="1:8" ht="42.75" customHeight="1">
      <c r="A1" s="138" t="s">
        <v>6</v>
      </c>
      <c r="B1" s="138"/>
      <c r="C1" s="138"/>
      <c r="D1" s="138"/>
      <c r="E1" s="138"/>
      <c r="F1" s="138"/>
      <c r="G1" s="138"/>
      <c r="H1" s="138"/>
    </row>
    <row r="2" spans="1:8" ht="42.75" customHeight="1">
      <c r="A2" s="138" t="s">
        <v>27</v>
      </c>
      <c r="B2" s="138"/>
      <c r="C2" s="138"/>
      <c r="D2" s="138"/>
      <c r="E2" s="138"/>
      <c r="F2" s="138"/>
      <c r="G2" s="138"/>
      <c r="H2" s="138"/>
    </row>
    <row r="3" spans="1:8" ht="42.75" customHeight="1">
      <c r="A3" s="1" t="s">
        <v>0</v>
      </c>
      <c r="B3" s="1" t="s">
        <v>1</v>
      </c>
      <c r="C3" s="1" t="s">
        <v>2</v>
      </c>
      <c r="D3" s="1" t="s">
        <v>18</v>
      </c>
      <c r="E3" s="1" t="s">
        <v>19</v>
      </c>
      <c r="F3" s="71" t="s">
        <v>3</v>
      </c>
      <c r="G3" s="2" t="s">
        <v>4</v>
      </c>
      <c r="H3" s="2" t="s">
        <v>5</v>
      </c>
    </row>
    <row r="4" spans="1:8" ht="42.75" customHeight="1">
      <c r="A4" s="1">
        <v>1</v>
      </c>
      <c r="B4" s="1"/>
      <c r="C4" s="1"/>
      <c r="E4" s="74" t="s">
        <v>26</v>
      </c>
      <c r="F4" s="73">
        <v>990000</v>
      </c>
      <c r="H4" s="20">
        <f>Table13[[#This Row],[مبلغ ورود]]-Table13[[#This Row],[مبلغ خروج]]</f>
        <v>990000</v>
      </c>
    </row>
    <row r="5" spans="1:8" ht="42.75" customHeight="1">
      <c r="A5" s="1">
        <v>2</v>
      </c>
      <c r="B5" s="21" t="s">
        <v>39</v>
      </c>
      <c r="C5" s="1"/>
      <c r="E5" s="74" t="s">
        <v>38</v>
      </c>
      <c r="F5" s="71"/>
      <c r="G5" s="20">
        <v>8000</v>
      </c>
      <c r="H5" s="20">
        <f>H4+Table13[[#This Row],[مبلغ ورود]]-Table13[[#This Row],[مبلغ خروج]]</f>
        <v>982000</v>
      </c>
    </row>
    <row r="6" spans="1:8" ht="42.75" customHeight="1">
      <c r="A6" s="1">
        <v>3</v>
      </c>
      <c r="B6" s="1"/>
      <c r="C6" s="1"/>
      <c r="E6" s="74" t="s">
        <v>38</v>
      </c>
      <c r="F6" s="71"/>
      <c r="G6" s="20">
        <v>50000</v>
      </c>
      <c r="H6" s="20">
        <f>H5+Table13[[#This Row],[مبلغ ورود]]-Table13[[#This Row],[مبلغ خروج]]</f>
        <v>932000</v>
      </c>
    </row>
    <row r="7" spans="1:8" ht="42.75" customHeight="1">
      <c r="A7" s="1">
        <v>4</v>
      </c>
      <c r="B7" s="21"/>
      <c r="C7" s="1"/>
      <c r="D7" s="22"/>
      <c r="E7" s="74" t="s">
        <v>38</v>
      </c>
      <c r="G7" s="20">
        <v>20000</v>
      </c>
      <c r="H7" s="20">
        <f>H6+Table13[[#This Row],[مبلغ ورود]]-Table13[[#This Row],[مبلغ خروج]]</f>
        <v>912000</v>
      </c>
    </row>
    <row r="8" spans="1:8" ht="42.75" customHeight="1">
      <c r="A8" s="1">
        <v>5</v>
      </c>
      <c r="B8" s="21" t="s">
        <v>28</v>
      </c>
      <c r="C8" s="1"/>
      <c r="E8" s="74" t="s">
        <v>36</v>
      </c>
      <c r="F8" s="73">
        <v>620000000</v>
      </c>
      <c r="H8" s="20">
        <f>H7+Table13[[#This Row],[مبلغ ورود]]-Table13[[#This Row],[مبلغ خروج]]</f>
        <v>620912000</v>
      </c>
    </row>
    <row r="9" spans="1:8" ht="42.75" customHeight="1">
      <c r="A9" s="1">
        <v>6</v>
      </c>
      <c r="B9" s="21"/>
      <c r="C9" s="1"/>
      <c r="D9" s="23"/>
      <c r="E9" s="74" t="s">
        <v>35</v>
      </c>
      <c r="F9" s="73">
        <v>150000000</v>
      </c>
      <c r="G9" s="24"/>
      <c r="H9" s="20">
        <f>H8+Table13[[#This Row],[مبلغ ورود]]-Table13[[#This Row],[مبلغ خروج]]</f>
        <v>770912000</v>
      </c>
    </row>
    <row r="10" spans="1:8" ht="42.75" customHeight="1">
      <c r="A10" s="1">
        <v>7</v>
      </c>
      <c r="B10" s="21" t="s">
        <v>28</v>
      </c>
      <c r="C10" s="1">
        <v>222322</v>
      </c>
      <c r="D10" s="19" t="s">
        <v>34</v>
      </c>
      <c r="E10" s="74" t="s">
        <v>29</v>
      </c>
      <c r="G10" s="20">
        <v>622040870</v>
      </c>
      <c r="H10" s="20">
        <f>H9+Table13[[#This Row],[مبلغ ورود]]-Table13[[#This Row],[مبلغ خروج]]</f>
        <v>148871130</v>
      </c>
    </row>
    <row r="11" spans="1:8" ht="42.75" customHeight="1">
      <c r="A11" s="1">
        <v>8</v>
      </c>
      <c r="B11" s="21" t="s">
        <v>37</v>
      </c>
      <c r="C11" s="1"/>
      <c r="E11" s="74" t="s">
        <v>38</v>
      </c>
      <c r="G11" s="20">
        <v>52500</v>
      </c>
      <c r="H11" s="20">
        <f>H10+Table13[[#This Row],[مبلغ ورود]]-Table13[[#This Row],[مبلغ خروج]]</f>
        <v>148818630</v>
      </c>
    </row>
    <row r="12" spans="1:8" ht="42.75" customHeight="1">
      <c r="A12" s="1">
        <v>9</v>
      </c>
      <c r="B12" s="21" t="s">
        <v>28</v>
      </c>
      <c r="C12" s="1">
        <v>222323</v>
      </c>
      <c r="D12" s="19" t="s">
        <v>34</v>
      </c>
      <c r="E12" s="74" t="s">
        <v>30</v>
      </c>
      <c r="G12" s="26">
        <v>13150000</v>
      </c>
      <c r="H12" s="20">
        <f>H11+Table13[[#This Row],[مبلغ ورود]]-Table13[[#This Row],[مبلغ خروج]]</f>
        <v>135668630</v>
      </c>
    </row>
    <row r="13" spans="1:8" ht="42.75" customHeight="1">
      <c r="A13" s="1">
        <v>10</v>
      </c>
      <c r="B13" s="21" t="s">
        <v>28</v>
      </c>
      <c r="C13" s="1">
        <v>222324</v>
      </c>
      <c r="D13" s="19" t="s">
        <v>34</v>
      </c>
      <c r="E13" s="74" t="s">
        <v>32</v>
      </c>
      <c r="G13" s="20">
        <v>60600030</v>
      </c>
      <c r="H13" s="20">
        <f>H12+Table13[[#This Row],[مبلغ ورود]]-Table13[[#This Row],[مبلغ خروج]]</f>
        <v>75068600</v>
      </c>
    </row>
    <row r="14" spans="1:8" ht="42.75" customHeight="1">
      <c r="A14" s="1">
        <v>11</v>
      </c>
      <c r="B14" s="21" t="s">
        <v>28</v>
      </c>
      <c r="C14" s="1">
        <v>222325</v>
      </c>
      <c r="D14" s="19" t="s">
        <v>34</v>
      </c>
      <c r="E14" s="74" t="s">
        <v>33</v>
      </c>
      <c r="G14" s="20">
        <v>19199995</v>
      </c>
      <c r="H14" s="20">
        <f>H13+Table13[[#This Row],[مبلغ ورود]]-Table13[[#This Row],[مبلغ خروج]]</f>
        <v>55868605</v>
      </c>
    </row>
    <row r="15" spans="1:8" ht="42.75" customHeight="1">
      <c r="A15" s="1">
        <v>12</v>
      </c>
      <c r="B15" s="21" t="s">
        <v>28</v>
      </c>
      <c r="C15" s="1">
        <v>222326</v>
      </c>
      <c r="D15" s="19" t="s">
        <v>34</v>
      </c>
      <c r="E15" s="74" t="s">
        <v>31</v>
      </c>
      <c r="G15" s="26">
        <v>15000000</v>
      </c>
      <c r="H15" s="20">
        <f>H14+Table13[[#This Row],[مبلغ ورود]]-Table13[[#This Row],[مبلغ خروج]]</f>
        <v>40868605</v>
      </c>
    </row>
    <row r="16" spans="1:8" ht="42.75" customHeight="1">
      <c r="A16" s="1">
        <v>13</v>
      </c>
      <c r="B16" s="21" t="s">
        <v>40</v>
      </c>
      <c r="C16" s="1">
        <v>222328</v>
      </c>
      <c r="D16" s="19" t="s">
        <v>34</v>
      </c>
      <c r="E16" s="74" t="s">
        <v>41</v>
      </c>
      <c r="G16" s="26">
        <v>7560000</v>
      </c>
      <c r="H16" s="20">
        <f>H15+Table13[[#This Row],[مبلغ ورود]]-Table13[[#This Row],[مبلغ خروج]]</f>
        <v>33308605</v>
      </c>
    </row>
    <row r="17" spans="1:8" ht="42.75" customHeight="1">
      <c r="A17" s="1">
        <v>14</v>
      </c>
      <c r="B17" s="21"/>
      <c r="C17" s="1"/>
      <c r="D17" s="27"/>
      <c r="E17" s="74"/>
      <c r="F17" s="76">
        <v>650000000</v>
      </c>
      <c r="G17" s="28"/>
      <c r="H17" s="20">
        <f>H16+Table13[[#This Row],[مبلغ ورود]]-Table13[[#This Row],[مبلغ خروج]]</f>
        <v>683308605</v>
      </c>
    </row>
    <row r="18" spans="1:8" ht="42.75" customHeight="1">
      <c r="A18" s="1">
        <v>15</v>
      </c>
      <c r="B18" s="21" t="s">
        <v>42</v>
      </c>
      <c r="C18" s="1">
        <v>222329</v>
      </c>
      <c r="D18" s="19" t="s">
        <v>34</v>
      </c>
      <c r="E18" s="74" t="str">
        <f>E10</f>
        <v xml:space="preserve">پرداخت حقوق و دستمزد کارکنان شرکت پالایش میعانات گازی آدیش جنوبی
 طبق لیست </v>
      </c>
      <c r="F18" s="76"/>
      <c r="G18" s="26">
        <v>616236711</v>
      </c>
      <c r="H18" s="20">
        <f>H17+Table13[[#This Row],[مبلغ ورود]]-Table13[[#This Row],[مبلغ خروج]]</f>
        <v>67071894</v>
      </c>
    </row>
    <row r="19" spans="1:8" ht="42.75" customHeight="1">
      <c r="A19" s="1">
        <v>16</v>
      </c>
      <c r="B19" s="21" t="s">
        <v>42</v>
      </c>
      <c r="D19" s="19" t="s">
        <v>34</v>
      </c>
      <c r="E19" s="74" t="s">
        <v>43</v>
      </c>
      <c r="G19" s="20">
        <v>50000</v>
      </c>
      <c r="H19" s="20">
        <f>H18+Table13[[#This Row],[مبلغ ورود]]-Table13[[#This Row],[مبلغ خروج]]</f>
        <v>67021894</v>
      </c>
    </row>
    <row r="20" spans="1:8" ht="42.75" customHeight="1">
      <c r="A20" s="1">
        <v>17</v>
      </c>
      <c r="B20" s="21" t="s">
        <v>45</v>
      </c>
      <c r="C20" s="1">
        <v>222330</v>
      </c>
      <c r="D20" s="19" t="s">
        <v>34</v>
      </c>
      <c r="E20" s="74" t="s">
        <v>44</v>
      </c>
      <c r="G20" s="20">
        <v>27468000</v>
      </c>
      <c r="H20" s="20">
        <f>H19+Table13[[#This Row],[مبلغ ورود]]-Table13[[#This Row],[مبلغ خروج]]</f>
        <v>39553894</v>
      </c>
    </row>
    <row r="21" spans="1:8" ht="42.75" customHeight="1">
      <c r="A21" s="1">
        <v>18</v>
      </c>
      <c r="B21" s="21" t="s">
        <v>46</v>
      </c>
      <c r="C21" s="1"/>
      <c r="D21" s="19" t="s">
        <v>34</v>
      </c>
      <c r="E21" s="74" t="s">
        <v>47</v>
      </c>
      <c r="G21" s="20">
        <v>20000</v>
      </c>
      <c r="H21" s="20">
        <f>H20+Table13[[#This Row],[مبلغ ورود]]-Table13[[#This Row],[مبلغ خروج]]</f>
        <v>39533894</v>
      </c>
    </row>
    <row r="22" spans="1:8" ht="42.75" customHeight="1">
      <c r="A22" s="1">
        <v>19</v>
      </c>
      <c r="B22" s="21" t="s">
        <v>48</v>
      </c>
      <c r="C22" s="1">
        <v>391926</v>
      </c>
      <c r="D22" s="19" t="s">
        <v>34</v>
      </c>
      <c r="E22" s="74" t="s">
        <v>49</v>
      </c>
      <c r="G22" s="20">
        <v>14900000</v>
      </c>
      <c r="H22" s="20">
        <f>H21+Table13[[#This Row],[مبلغ ورود]]-Table13[[#This Row],[مبلغ خروج]]</f>
        <v>24633894</v>
      </c>
    </row>
    <row r="23" spans="1:8" ht="42.75" customHeight="1">
      <c r="A23" s="1">
        <v>20</v>
      </c>
      <c r="B23" s="21" t="s">
        <v>50</v>
      </c>
      <c r="C23" s="1">
        <v>391927</v>
      </c>
      <c r="D23" s="19" t="s">
        <v>34</v>
      </c>
      <c r="E23" s="74" t="s">
        <v>53</v>
      </c>
      <c r="G23" s="20">
        <v>7400000</v>
      </c>
      <c r="H23" s="20">
        <f>H22+Table13[[#This Row],[مبلغ ورود]]-Table13[[#This Row],[مبلغ خروج]]</f>
        <v>17233894</v>
      </c>
    </row>
    <row r="24" spans="1:8" ht="42.75" customHeight="1">
      <c r="A24" s="1">
        <v>21</v>
      </c>
      <c r="B24" s="21"/>
      <c r="C24" s="1"/>
      <c r="D24" s="19" t="s">
        <v>34</v>
      </c>
      <c r="E24" s="74"/>
      <c r="F24" s="73">
        <v>150000000</v>
      </c>
      <c r="H24" s="20">
        <f>H23+Table13[[#This Row],[مبلغ ورود]]-Table13[[#This Row],[مبلغ خروج]]</f>
        <v>167233894</v>
      </c>
    </row>
    <row r="25" spans="1:8" ht="42.75" customHeight="1">
      <c r="A25" s="1">
        <v>22</v>
      </c>
      <c r="B25" s="21" t="s">
        <v>50</v>
      </c>
      <c r="C25" s="1">
        <v>391928</v>
      </c>
      <c r="D25" s="19" t="s">
        <v>34</v>
      </c>
      <c r="E25" s="74" t="s">
        <v>51</v>
      </c>
      <c r="G25" s="20">
        <v>21438120</v>
      </c>
      <c r="H25" s="20">
        <f>H24+Table13[[#This Row],[مبلغ ورود]]-Table13[[#This Row],[مبلغ خروج]]</f>
        <v>145795774</v>
      </c>
    </row>
    <row r="26" spans="1:8" ht="42.75" customHeight="1">
      <c r="A26" s="1">
        <v>23</v>
      </c>
      <c r="B26" s="21" t="s">
        <v>50</v>
      </c>
      <c r="C26" s="1">
        <v>391929</v>
      </c>
      <c r="D26" s="19" t="s">
        <v>34</v>
      </c>
      <c r="E26" s="74" t="str">
        <f>E15</f>
        <v>حواله ساتنا به حساب IR440120020000005715330360 نزد بانک ملت به نام آقای محسن خستو بابت شارژ تنخواه</v>
      </c>
      <c r="G26" s="20">
        <v>60000000</v>
      </c>
      <c r="H26" s="20">
        <f>H25+Table13[[#This Row],[مبلغ ورود]]-Table13[[#This Row],[مبلغ خروج]]</f>
        <v>85795774</v>
      </c>
    </row>
    <row r="27" spans="1:8" ht="42.75" customHeight="1">
      <c r="A27" s="1">
        <v>24</v>
      </c>
      <c r="B27" s="40" t="s">
        <v>50</v>
      </c>
      <c r="C27" s="39">
        <v>391930</v>
      </c>
      <c r="D27" s="41" t="s">
        <v>34</v>
      </c>
      <c r="E27" s="142" t="s">
        <v>52</v>
      </c>
      <c r="F27" s="77"/>
      <c r="G27" s="42">
        <v>48000000</v>
      </c>
      <c r="H27" s="42">
        <f>H26+Table13[[#This Row],[مبلغ ورود]]-Table13[[#This Row],[مبلغ خروج]]</f>
        <v>37795774</v>
      </c>
    </row>
    <row r="28" spans="1:8" ht="42.75" customHeight="1">
      <c r="A28" s="1">
        <v>25</v>
      </c>
      <c r="B28" s="21" t="s">
        <v>54</v>
      </c>
      <c r="C28" s="1">
        <v>391931</v>
      </c>
      <c r="D28" s="19" t="s">
        <v>34</v>
      </c>
      <c r="E28" s="74" t="str">
        <f>E26</f>
        <v>حواله ساتنا به حساب IR440120020000005715330360 نزد بانک ملت به نام آقای محسن خستو بابت شارژ تنخواه</v>
      </c>
      <c r="G28" s="20">
        <v>20000000</v>
      </c>
      <c r="H28" s="20">
        <f>H27+Table13[[#This Row],[مبلغ ورود]]-Table13[[#This Row],[مبلغ خروج]]</f>
        <v>17795774</v>
      </c>
    </row>
    <row r="29" spans="1:8" ht="42.75" customHeight="1">
      <c r="A29" s="1">
        <v>26</v>
      </c>
      <c r="B29" s="21"/>
      <c r="C29" s="1"/>
      <c r="D29" s="29"/>
      <c r="E29" s="74" t="s">
        <v>58</v>
      </c>
      <c r="F29" s="73">
        <v>36000000</v>
      </c>
      <c r="G29" s="30"/>
      <c r="H29" s="20">
        <f>H28+Table13[[#This Row],[مبلغ ورود]]-Table13[[#This Row],[مبلغ خروج]]</f>
        <v>53795774</v>
      </c>
    </row>
    <row r="30" spans="1:8" ht="42.75" customHeight="1">
      <c r="A30" s="1">
        <v>27</v>
      </c>
      <c r="B30" s="21" t="s">
        <v>55</v>
      </c>
      <c r="C30" s="1">
        <v>391932</v>
      </c>
      <c r="D30" s="19" t="s">
        <v>34</v>
      </c>
      <c r="E30" s="74" t="s">
        <v>56</v>
      </c>
      <c r="G30" s="20">
        <v>50886497</v>
      </c>
      <c r="H30" s="20">
        <f>H29+Table13[[#This Row],[مبلغ ورود]]-Table13[[#This Row],[مبلغ خروج]]</f>
        <v>2909277</v>
      </c>
    </row>
    <row r="31" spans="1:8" ht="42.75" customHeight="1">
      <c r="A31" s="1">
        <v>28</v>
      </c>
      <c r="B31" s="21"/>
      <c r="C31" s="1"/>
      <c r="D31" s="31"/>
      <c r="E31" s="74"/>
      <c r="F31" s="73">
        <v>100000000</v>
      </c>
      <c r="G31" s="32"/>
      <c r="H31" s="20">
        <f>H30+Table13[[#This Row],[مبلغ ورود]]-Table13[[#This Row],[مبلغ خروج]]</f>
        <v>102909277</v>
      </c>
    </row>
    <row r="32" spans="1:8" ht="42.75" customHeight="1">
      <c r="A32" s="1">
        <v>29</v>
      </c>
      <c r="B32" s="21" t="s">
        <v>55</v>
      </c>
      <c r="C32" s="1">
        <v>391933</v>
      </c>
      <c r="D32" s="19" t="s">
        <v>34</v>
      </c>
      <c r="E32" s="143" t="s">
        <v>57</v>
      </c>
      <c r="G32" s="20">
        <v>58466925</v>
      </c>
      <c r="H32" s="20">
        <f>H31+Table13[[#This Row],[مبلغ ورود]]-Table13[[#This Row],[مبلغ خروج]]</f>
        <v>44442352</v>
      </c>
    </row>
    <row r="33" spans="1:8" ht="42.75" customHeight="1">
      <c r="A33" s="1">
        <v>30</v>
      </c>
      <c r="B33" s="21" t="s">
        <v>60</v>
      </c>
      <c r="C33" s="1">
        <v>391934</v>
      </c>
      <c r="D33" s="19" t="s">
        <v>34</v>
      </c>
      <c r="E33" s="74" t="s">
        <v>59</v>
      </c>
      <c r="G33" s="20">
        <v>40000000</v>
      </c>
      <c r="H33" s="20">
        <f>H32+Table13[[#This Row],[مبلغ ورود]]-Table13[[#This Row],[مبلغ خروج]]</f>
        <v>4442352</v>
      </c>
    </row>
    <row r="34" spans="1:8" ht="42.75" customHeight="1">
      <c r="A34" s="1">
        <v>31</v>
      </c>
      <c r="B34" s="21"/>
      <c r="C34" s="1"/>
      <c r="E34" s="74"/>
      <c r="F34" s="73">
        <v>500000000</v>
      </c>
      <c r="H34" s="20">
        <f>H33+Table13[[#This Row],[مبلغ ورود]]-Table13[[#This Row],[مبلغ خروج]]</f>
        <v>504442352</v>
      </c>
    </row>
    <row r="35" spans="1:8" ht="42.75" customHeight="1">
      <c r="A35" s="1">
        <v>32</v>
      </c>
      <c r="B35" s="21" t="s">
        <v>62</v>
      </c>
      <c r="C35" s="1">
        <v>391935</v>
      </c>
      <c r="D35" s="19" t="s">
        <v>34</v>
      </c>
      <c r="E35" s="74" t="s">
        <v>61</v>
      </c>
      <c r="G35" s="20">
        <v>300000000</v>
      </c>
      <c r="H35" s="20">
        <f>H34+Table13[[#This Row],[مبلغ ورود]]-Table13[[#This Row],[مبلغ خروج]]</f>
        <v>204442352</v>
      </c>
    </row>
    <row r="36" spans="1:8" ht="42.75" customHeight="1">
      <c r="A36" s="1">
        <v>33</v>
      </c>
      <c r="B36" s="21" t="s">
        <v>63</v>
      </c>
      <c r="C36" s="1">
        <v>391936</v>
      </c>
      <c r="D36" s="19" t="s">
        <v>34</v>
      </c>
      <c r="E36" s="74"/>
      <c r="G36" s="20">
        <v>61862950</v>
      </c>
      <c r="H36" s="20">
        <f>H35+Table13[[#This Row],[مبلغ ورود]]-Table13[[#This Row],[مبلغ خروج]]</f>
        <v>142579402</v>
      </c>
    </row>
    <row r="37" spans="1:8" ht="42.75" customHeight="1">
      <c r="A37" s="1">
        <v>34</v>
      </c>
      <c r="B37" s="21" t="s">
        <v>63</v>
      </c>
      <c r="C37" s="1">
        <v>391937</v>
      </c>
      <c r="D37" s="19" t="s">
        <v>34</v>
      </c>
      <c r="E37" s="74"/>
      <c r="G37" s="20">
        <v>24150000</v>
      </c>
      <c r="H37" s="20">
        <f>H36+Table13[[#This Row],[مبلغ ورود]]-Table13[[#This Row],[مبلغ خروج]]</f>
        <v>118429402</v>
      </c>
    </row>
    <row r="38" spans="1:8" ht="42.75" customHeight="1">
      <c r="A38" s="1">
        <v>35</v>
      </c>
      <c r="B38" s="21" t="s">
        <v>64</v>
      </c>
      <c r="C38" s="1">
        <v>391938</v>
      </c>
      <c r="D38" s="19" t="s">
        <v>34</v>
      </c>
      <c r="E38" s="74"/>
      <c r="G38" s="20">
        <v>8720000</v>
      </c>
      <c r="H38" s="20">
        <f>H37+Table13[[#This Row],[مبلغ ورود]]-Table13[[#This Row],[مبلغ خروج]]</f>
        <v>109709402</v>
      </c>
    </row>
    <row r="39" spans="1:8" ht="42.75" customHeight="1">
      <c r="A39" s="1">
        <v>36</v>
      </c>
      <c r="B39" s="21" t="s">
        <v>64</v>
      </c>
      <c r="C39" s="1">
        <v>391939</v>
      </c>
      <c r="D39" s="19" t="s">
        <v>34</v>
      </c>
      <c r="E39" s="74"/>
      <c r="G39" s="20">
        <v>20000000</v>
      </c>
      <c r="H39" s="20">
        <f>H38+Table13[[#This Row],[مبلغ ورود]]-Table13[[#This Row],[مبلغ خروج]]</f>
        <v>89709402</v>
      </c>
    </row>
    <row r="40" spans="1:8" ht="42.75" customHeight="1">
      <c r="A40" s="1">
        <v>37</v>
      </c>
      <c r="B40" s="21"/>
      <c r="C40" s="1"/>
      <c r="D40" s="19" t="s">
        <v>34</v>
      </c>
      <c r="E40" s="74"/>
      <c r="F40" s="73">
        <v>750000000</v>
      </c>
      <c r="H40" s="20">
        <f>H39+Table13[[#This Row],[مبلغ ورود]]-Table13[[#This Row],[مبلغ خروج]]</f>
        <v>839709402</v>
      </c>
    </row>
    <row r="41" spans="1:8" ht="42.75" customHeight="1">
      <c r="A41" s="1">
        <v>38</v>
      </c>
      <c r="B41" s="21" t="s">
        <v>64</v>
      </c>
      <c r="C41" s="1">
        <v>391940</v>
      </c>
      <c r="D41" s="19" t="s">
        <v>34</v>
      </c>
      <c r="E41" s="74" t="s">
        <v>65</v>
      </c>
      <c r="G41" s="20">
        <v>322903783</v>
      </c>
      <c r="H41" s="20">
        <f>H40+Table13[[#This Row],[مبلغ ورود]]-Table13[[#This Row],[مبلغ خروج]]</f>
        <v>516805619</v>
      </c>
    </row>
    <row r="42" spans="1:8" ht="42.75" customHeight="1">
      <c r="A42" s="1">
        <v>39</v>
      </c>
      <c r="B42" s="21" t="s">
        <v>64</v>
      </c>
      <c r="C42" s="1">
        <v>391941</v>
      </c>
      <c r="D42" s="19" t="s">
        <v>34</v>
      </c>
      <c r="E42" s="74" t="str">
        <f>E41</f>
        <v xml:space="preserve">پرداخت حقوق و دستمزد کارکنان شرکت پالایش میعانات گازی آدیش جنوبی طبق لیست </v>
      </c>
      <c r="G42" s="20">
        <v>358047157</v>
      </c>
      <c r="H42" s="20">
        <f>H41+Table13[[#This Row],[مبلغ ورود]]-Table13[[#This Row],[مبلغ خروج]]</f>
        <v>158758462</v>
      </c>
    </row>
    <row r="43" spans="1:8" ht="42.75" customHeight="1">
      <c r="A43" s="1">
        <v>40</v>
      </c>
      <c r="B43" s="43"/>
      <c r="C43" s="44"/>
      <c r="D43" s="44" t="s">
        <v>34</v>
      </c>
      <c r="E43" s="144" t="s">
        <v>38</v>
      </c>
      <c r="F43" s="139"/>
      <c r="G43" s="45">
        <v>77500</v>
      </c>
      <c r="H43" s="45">
        <f>H42+Table13[[#This Row],[مبلغ ورود]]-Table13[[#This Row],[مبلغ خروج]]</f>
        <v>158680962</v>
      </c>
    </row>
    <row r="44" spans="1:8" ht="42.75" customHeight="1">
      <c r="A44" s="1">
        <v>41</v>
      </c>
      <c r="B44" s="21" t="s">
        <v>67</v>
      </c>
      <c r="C44" s="1">
        <v>391942</v>
      </c>
      <c r="D44" s="19" t="s">
        <v>34</v>
      </c>
      <c r="E44" s="74"/>
      <c r="G44" s="20">
        <v>18900000</v>
      </c>
      <c r="H44" s="20">
        <f>H43+Table13[[#This Row],[مبلغ ورود]]-Table13[[#This Row],[مبلغ خروج]]</f>
        <v>139780962</v>
      </c>
    </row>
    <row r="45" spans="1:8" ht="42.75" customHeight="1">
      <c r="A45" s="1">
        <v>42</v>
      </c>
      <c r="B45" s="21" t="s">
        <v>67</v>
      </c>
      <c r="C45" s="1">
        <v>391943</v>
      </c>
      <c r="D45" s="19" t="s">
        <v>34</v>
      </c>
      <c r="E45" s="74"/>
      <c r="G45" s="20">
        <v>6075000</v>
      </c>
      <c r="H45" s="20">
        <f>H44+Table13[[#This Row],[مبلغ ورود]]-Table13[[#This Row],[مبلغ خروج]]</f>
        <v>133705962</v>
      </c>
    </row>
    <row r="46" spans="1:8" ht="42.75" customHeight="1">
      <c r="A46" s="1">
        <v>43</v>
      </c>
      <c r="B46" s="46" t="s">
        <v>67</v>
      </c>
      <c r="C46" s="47">
        <v>391944</v>
      </c>
      <c r="D46" s="48" t="s">
        <v>34</v>
      </c>
      <c r="E46" s="145"/>
      <c r="F46" s="140"/>
      <c r="G46" s="49">
        <v>19235230</v>
      </c>
      <c r="H46" s="49">
        <f>H45+Table13[[#This Row],[مبلغ ورود]]-Table13[[#This Row],[مبلغ خروج]]</f>
        <v>114470732</v>
      </c>
    </row>
    <row r="47" spans="1:8" ht="42.75" customHeight="1">
      <c r="A47" s="1">
        <v>44</v>
      </c>
      <c r="B47" s="21" t="s">
        <v>67</v>
      </c>
      <c r="C47" s="1">
        <v>391945</v>
      </c>
      <c r="D47" s="19" t="str">
        <f t="shared" ref="D47:D54" si="0">D46</f>
        <v>بانک اقتصاد نوین</v>
      </c>
      <c r="E47" s="74"/>
      <c r="G47" s="20">
        <v>20000000</v>
      </c>
      <c r="H47" s="20">
        <f>H46+Table13[[#This Row],[مبلغ ورود]]-Table13[[#This Row],[مبلغ خروج]]</f>
        <v>94470732</v>
      </c>
    </row>
    <row r="48" spans="1:8" ht="42.75" customHeight="1">
      <c r="A48" s="1">
        <v>45</v>
      </c>
      <c r="B48" s="21" t="s">
        <v>66</v>
      </c>
      <c r="C48" s="1">
        <v>391946</v>
      </c>
      <c r="D48" s="19" t="str">
        <f t="shared" si="0"/>
        <v>بانک اقتصاد نوین</v>
      </c>
      <c r="E48" s="74"/>
      <c r="F48" s="78"/>
      <c r="G48" s="20">
        <v>13100000</v>
      </c>
      <c r="H48" s="20">
        <f>H47+Table13[[#This Row],[مبلغ ورود]]-Table13[[#This Row],[مبلغ خروج]]</f>
        <v>81370732</v>
      </c>
    </row>
    <row r="49" spans="1:8" ht="42.75" customHeight="1">
      <c r="A49" s="1">
        <v>46</v>
      </c>
      <c r="B49" s="21" t="s">
        <v>112</v>
      </c>
      <c r="C49" s="1"/>
      <c r="E49" s="74" t="s">
        <v>47</v>
      </c>
      <c r="F49" s="79"/>
      <c r="G49" s="20">
        <v>40000</v>
      </c>
      <c r="H49" s="20">
        <f>H48+Table13[[#This Row],[مبلغ ورود]]-Table13[[#This Row],[مبلغ خروج]]</f>
        <v>81330732</v>
      </c>
    </row>
    <row r="50" spans="1:8" ht="42.75" customHeight="1">
      <c r="A50" s="1">
        <v>47</v>
      </c>
      <c r="B50" s="21" t="s">
        <v>68</v>
      </c>
      <c r="D50" s="19" t="str">
        <f>D48</f>
        <v>بانک اقتصاد نوین</v>
      </c>
      <c r="E50" s="74"/>
      <c r="F50" s="73">
        <v>320000000</v>
      </c>
      <c r="G50" s="19"/>
      <c r="H50" s="20">
        <f>H49+Table13[[#This Row],[مبلغ ورود]]-Table13[[#This Row],[مبلغ خروج]]</f>
        <v>401330732</v>
      </c>
    </row>
    <row r="51" spans="1:8" ht="42.75" customHeight="1">
      <c r="A51" s="1">
        <v>48</v>
      </c>
      <c r="B51" s="21" t="s">
        <v>69</v>
      </c>
      <c r="C51" s="1">
        <v>391947</v>
      </c>
      <c r="D51" s="19" t="str">
        <f t="shared" si="0"/>
        <v>بانک اقتصاد نوین</v>
      </c>
      <c r="E51" s="74" t="s">
        <v>70</v>
      </c>
      <c r="F51" s="80"/>
      <c r="G51" s="20">
        <v>111929883</v>
      </c>
      <c r="H51" s="20">
        <f>H50+Table13[[#This Row],[مبلغ ورود]]-Table13[[#This Row],[مبلغ خروج]]</f>
        <v>289400849</v>
      </c>
    </row>
    <row r="52" spans="1:8" ht="42.75" customHeight="1">
      <c r="A52" s="1">
        <v>49</v>
      </c>
      <c r="B52" s="51" t="s">
        <v>69</v>
      </c>
      <c r="C52" s="50">
        <v>391948</v>
      </c>
      <c r="D52" s="52" t="str">
        <f t="shared" si="0"/>
        <v>بانک اقتصاد نوین</v>
      </c>
      <c r="E52" s="146" t="s">
        <v>71</v>
      </c>
      <c r="F52" s="81"/>
      <c r="G52" s="53">
        <v>74044318</v>
      </c>
      <c r="H52" s="53">
        <f>H51+Table13[[#This Row],[مبلغ ورود]]-Table13[[#This Row],[مبلغ خروج]]</f>
        <v>215356531</v>
      </c>
    </row>
    <row r="53" spans="1:8" ht="42.75" customHeight="1">
      <c r="A53" s="1">
        <v>50</v>
      </c>
      <c r="B53" s="40" t="s">
        <v>69</v>
      </c>
      <c r="C53" s="39">
        <v>391949</v>
      </c>
      <c r="D53" s="41" t="str">
        <f t="shared" si="0"/>
        <v>بانک اقتصاد نوین</v>
      </c>
      <c r="E53" s="142" t="s">
        <v>72</v>
      </c>
      <c r="F53" s="82"/>
      <c r="G53" s="42">
        <v>9080856</v>
      </c>
      <c r="H53" s="42">
        <f>H52+Table13[[#This Row],[مبلغ ورود]]-Table13[[#This Row],[مبلغ خروج]]</f>
        <v>206275675</v>
      </c>
    </row>
    <row r="54" spans="1:8" ht="42.75" customHeight="1">
      <c r="A54" s="1">
        <v>51</v>
      </c>
      <c r="B54" s="51" t="s">
        <v>69</v>
      </c>
      <c r="C54" s="50">
        <v>391950</v>
      </c>
      <c r="D54" s="52" t="str">
        <f t="shared" si="0"/>
        <v>بانک اقتصاد نوین</v>
      </c>
      <c r="E54" s="146" t="s">
        <v>73</v>
      </c>
      <c r="F54" s="81"/>
      <c r="G54" s="53">
        <v>120000000</v>
      </c>
      <c r="H54" s="53">
        <f>H53+Table13[[#This Row],[مبلغ ورود]]-Table13[[#This Row],[مبلغ خروج]]</f>
        <v>86275675</v>
      </c>
    </row>
    <row r="55" spans="1:8" ht="42.75" customHeight="1">
      <c r="A55" s="1">
        <v>52</v>
      </c>
      <c r="B55" s="21" t="s">
        <v>69</v>
      </c>
      <c r="C55" s="1">
        <v>944001</v>
      </c>
      <c r="D55" s="31" t="str">
        <f>D54</f>
        <v>بانک اقتصاد نوین</v>
      </c>
      <c r="E55" s="74" t="str">
        <f>E28</f>
        <v>حواله ساتنا به حساب IR440120020000005715330360 نزد بانک ملت به نام آقای محسن خستو بابت شارژ تنخواه</v>
      </c>
      <c r="G55" s="20">
        <v>20000000</v>
      </c>
      <c r="H55" s="20">
        <f>H54+Table13[[#This Row],[مبلغ ورود]]-Table13[[#This Row],[مبلغ خروج]]</f>
        <v>66275675</v>
      </c>
    </row>
    <row r="56" spans="1:8" ht="42.75" customHeight="1">
      <c r="A56" s="1">
        <v>53</v>
      </c>
      <c r="B56" s="21" t="s">
        <v>74</v>
      </c>
      <c r="C56" s="1"/>
      <c r="E56" s="74"/>
      <c r="F56" s="73">
        <v>750000000</v>
      </c>
      <c r="H56" s="20">
        <f>H55+Table13[[#This Row],[مبلغ ورود]]-Table13[[#This Row],[مبلغ خروج]]</f>
        <v>816275675</v>
      </c>
    </row>
    <row r="57" spans="1:8" ht="42.75" customHeight="1">
      <c r="A57" s="1">
        <v>54</v>
      </c>
      <c r="B57" s="21" t="s">
        <v>74</v>
      </c>
      <c r="C57" s="1">
        <v>944002</v>
      </c>
      <c r="D57" s="19" t="str">
        <f>D55</f>
        <v>بانک اقتصاد نوین</v>
      </c>
      <c r="E57" s="74" t="str">
        <f>E42</f>
        <v xml:space="preserve">پرداخت حقوق و دستمزد کارکنان شرکت پالایش میعانات گازی آدیش جنوبی طبق لیست </v>
      </c>
      <c r="G57" s="20">
        <f>388868096</f>
        <v>388868096</v>
      </c>
      <c r="H57" s="20">
        <f>H56+Table13[[#This Row],[مبلغ ورود]]-Table13[[#This Row],[مبلغ خروج]]</f>
        <v>427407579</v>
      </c>
    </row>
    <row r="58" spans="1:8" ht="42.75" customHeight="1">
      <c r="A58" s="1">
        <v>55</v>
      </c>
      <c r="B58" s="21" t="s">
        <v>74</v>
      </c>
      <c r="C58" s="1">
        <v>944003</v>
      </c>
      <c r="D58" s="19" t="str">
        <f>D57</f>
        <v>بانک اقتصاد نوین</v>
      </c>
      <c r="E58" s="74" t="str">
        <f>E57</f>
        <v xml:space="preserve">پرداخت حقوق و دستمزد کارکنان شرکت پالایش میعانات گازی آدیش جنوبی طبق لیست </v>
      </c>
      <c r="G58" s="20">
        <v>348574486</v>
      </c>
      <c r="H58" s="20">
        <f>H57+Table13[[#This Row],[مبلغ ورود]]-Table13[[#This Row],[مبلغ خروج]]</f>
        <v>78833093</v>
      </c>
    </row>
    <row r="59" spans="1:8" ht="42.75" customHeight="1">
      <c r="A59" s="1">
        <v>56</v>
      </c>
      <c r="B59" s="21"/>
      <c r="C59" s="1"/>
      <c r="E59" s="74" t="s">
        <v>43</v>
      </c>
      <c r="G59" s="20">
        <v>27500</v>
      </c>
      <c r="H59" s="53">
        <f>H58+Table13[[#This Row],[مبلغ ورود]]-Table13[[#This Row],[مبلغ خروج]]</f>
        <v>78805593</v>
      </c>
    </row>
    <row r="60" spans="1:8" ht="42.75" customHeight="1">
      <c r="A60" s="1">
        <v>57</v>
      </c>
      <c r="B60" s="21"/>
      <c r="C60" s="1"/>
      <c r="E60" s="74" t="str">
        <f>E59</f>
        <v>کارمزد پرداخت حقوق</v>
      </c>
      <c r="G60" s="20">
        <v>27500</v>
      </c>
      <c r="H60" s="20">
        <f>H59+Table13[[#This Row],[مبلغ ورود]]-Table13[[#This Row],[مبلغ خروج]]</f>
        <v>78778093</v>
      </c>
    </row>
    <row r="61" spans="1:8" ht="42.75" customHeight="1">
      <c r="A61" s="1">
        <v>58</v>
      </c>
      <c r="B61" s="21" t="s">
        <v>74</v>
      </c>
      <c r="C61" s="1">
        <v>944004</v>
      </c>
      <c r="D61" s="31" t="str">
        <f>D58</f>
        <v>بانک اقتصاد نوین</v>
      </c>
      <c r="E61" s="74" t="str">
        <f>E55</f>
        <v>حواله ساتنا به حساب IR440120020000005715330360 نزد بانک ملت به نام آقای محسن خستو بابت شارژ تنخواه</v>
      </c>
      <c r="G61" s="20">
        <v>30000000</v>
      </c>
      <c r="H61" s="20">
        <f>H60+Table13[[#This Row],[مبلغ ورود]]-Table13[[#This Row],[مبلغ خروج]]</f>
        <v>48778093</v>
      </c>
    </row>
    <row r="62" spans="1:8" ht="42.75" customHeight="1">
      <c r="A62" s="1">
        <v>59</v>
      </c>
      <c r="B62" s="21" t="s">
        <v>76</v>
      </c>
      <c r="C62" s="1"/>
      <c r="D62" s="33"/>
      <c r="E62" s="74" t="s">
        <v>75</v>
      </c>
      <c r="F62" s="73">
        <v>10000000000</v>
      </c>
      <c r="H62" s="20">
        <f>H61+Table13[[#This Row],[مبلغ ورود]]-Table13[[#This Row],[مبلغ خروج]]</f>
        <v>10048778093</v>
      </c>
    </row>
    <row r="63" spans="1:8" ht="42.75" customHeight="1">
      <c r="A63" s="1">
        <v>60</v>
      </c>
      <c r="B63" s="21" t="s">
        <v>76</v>
      </c>
      <c r="C63" s="1">
        <v>944005</v>
      </c>
      <c r="D63" s="33"/>
      <c r="E63" s="74" t="s">
        <v>77</v>
      </c>
      <c r="G63" s="20">
        <f>F62</f>
        <v>10000000000</v>
      </c>
      <c r="H63" s="20">
        <f>H62+Table13[[#This Row],[مبلغ ورود]]-Table13[[#This Row],[مبلغ خروج]]</f>
        <v>48778093</v>
      </c>
    </row>
    <row r="64" spans="1:8" ht="42.75" customHeight="1">
      <c r="A64" s="1">
        <v>61</v>
      </c>
      <c r="B64" s="21"/>
      <c r="C64" s="1"/>
      <c r="E64" s="74"/>
      <c r="F64" s="73">
        <v>350000000</v>
      </c>
      <c r="H64" s="53">
        <f>H63+Table13[[#This Row],[مبلغ ورود]]-Table13[[#This Row],[مبلغ خروج]]</f>
        <v>398778093</v>
      </c>
    </row>
    <row r="65" spans="1:8" ht="42.75" customHeight="1">
      <c r="A65" s="1">
        <v>62</v>
      </c>
      <c r="B65" s="21"/>
      <c r="C65" s="1"/>
      <c r="D65" s="55"/>
      <c r="E65" s="74" t="s">
        <v>109</v>
      </c>
      <c r="G65" s="20">
        <v>10000</v>
      </c>
      <c r="H65" s="20">
        <f>H64+Table13[[#This Row],[مبلغ ورود]]-Table13[[#This Row],[مبلغ خروج]]</f>
        <v>398768093</v>
      </c>
    </row>
    <row r="66" spans="1:8" ht="42.75" customHeight="1">
      <c r="A66" s="1">
        <v>63</v>
      </c>
      <c r="B66" s="21" t="s">
        <v>79</v>
      </c>
      <c r="C66" s="1">
        <v>944006</v>
      </c>
      <c r="D66" s="19" t="str">
        <f>D61</f>
        <v>بانک اقتصاد نوین</v>
      </c>
      <c r="E66" s="74" t="s">
        <v>80</v>
      </c>
      <c r="G66" s="20">
        <v>237500000</v>
      </c>
      <c r="H66" s="20">
        <f>H65+Table13[[#This Row],[مبلغ ورود]]-Table13[[#This Row],[مبلغ خروج]]</f>
        <v>161268093</v>
      </c>
    </row>
    <row r="67" spans="1:8" ht="42.75" customHeight="1">
      <c r="A67" s="1">
        <v>64</v>
      </c>
      <c r="B67" s="21" t="s">
        <v>79</v>
      </c>
      <c r="C67" s="1">
        <v>944007</v>
      </c>
      <c r="D67" s="19" t="str">
        <f>D66</f>
        <v>بانک اقتصاد نوین</v>
      </c>
      <c r="E67" s="74" t="s">
        <v>78</v>
      </c>
      <c r="G67" s="20">
        <v>9900000</v>
      </c>
      <c r="H67" s="20">
        <f>H66+Table13[[#This Row],[مبلغ ورود]]-Table13[[#This Row],[مبلغ خروج]]</f>
        <v>151368093</v>
      </c>
    </row>
    <row r="68" spans="1:8" ht="42.75" customHeight="1">
      <c r="A68" s="1">
        <v>65</v>
      </c>
      <c r="B68" s="21"/>
      <c r="C68" s="1"/>
      <c r="D68" s="34"/>
      <c r="E68" s="74" t="str">
        <f>E62</f>
        <v>تناوب</v>
      </c>
      <c r="F68" s="73">
        <f>F62</f>
        <v>10000000000</v>
      </c>
      <c r="G68" s="35"/>
      <c r="H68" s="20">
        <f>H67+Table13[[#This Row],[مبلغ ورود]]-Table13[[#This Row],[مبلغ خروج]]</f>
        <v>10151368093</v>
      </c>
    </row>
    <row r="69" spans="1:8" ht="42.75" customHeight="1">
      <c r="A69" s="1">
        <v>66</v>
      </c>
      <c r="B69" s="21" t="s">
        <v>81</v>
      </c>
      <c r="C69" s="1">
        <v>944008</v>
      </c>
      <c r="D69" s="19" t="str">
        <f>D67</f>
        <v>بانک اقتصاد نوین</v>
      </c>
      <c r="E69" s="74" t="s">
        <v>82</v>
      </c>
      <c r="G69" s="20">
        <f>G63</f>
        <v>10000000000</v>
      </c>
      <c r="H69" s="20">
        <f>H68+Table13[[#This Row],[مبلغ ورود]]-Table13[[#This Row],[مبلغ خروج]]</f>
        <v>151368093</v>
      </c>
    </row>
    <row r="70" spans="1:8" ht="42.75" customHeight="1">
      <c r="A70" s="1">
        <v>67</v>
      </c>
      <c r="B70" s="21" t="s">
        <v>81</v>
      </c>
      <c r="C70" s="1">
        <v>944009</v>
      </c>
      <c r="D70" s="19" t="str">
        <f>D69</f>
        <v>بانک اقتصاد نوین</v>
      </c>
      <c r="E70" s="74" t="s">
        <v>83</v>
      </c>
      <c r="H70" s="53">
        <f>H69+Table13[[#This Row],[مبلغ ورود]]-Table13[[#This Row],[مبلغ خروج]]</f>
        <v>151368093</v>
      </c>
    </row>
    <row r="71" spans="1:8" ht="42.75" customHeight="1">
      <c r="A71" s="1">
        <v>68</v>
      </c>
      <c r="B71" s="21"/>
      <c r="C71" s="1"/>
      <c r="D71" s="55"/>
      <c r="E71" s="74" t="s">
        <v>144</v>
      </c>
      <c r="F71" s="73">
        <v>1000000</v>
      </c>
      <c r="G71" s="54"/>
      <c r="H71" s="20">
        <f>H70+Table13[[#This Row],[مبلغ ورود]]-Table13[[#This Row],[مبلغ خروج]]</f>
        <v>152368093</v>
      </c>
    </row>
    <row r="72" spans="1:8" ht="42.75" customHeight="1">
      <c r="A72" s="1">
        <v>69</v>
      </c>
      <c r="B72" s="21" t="s">
        <v>84</v>
      </c>
      <c r="C72" s="1">
        <v>944010</v>
      </c>
      <c r="D72" s="19" t="str">
        <f>D70</f>
        <v>بانک اقتصاد نوین</v>
      </c>
      <c r="E72" s="74" t="str">
        <f>E55</f>
        <v>حواله ساتنا به حساب IR440120020000005715330360 نزد بانک ملت به نام آقای محسن خستو بابت شارژ تنخواه</v>
      </c>
      <c r="G72" s="20">
        <v>50000000</v>
      </c>
      <c r="H72" s="20">
        <f>H71+Table13[[#This Row],[مبلغ ورود]]-Table13[[#This Row],[مبلغ خروج]]</f>
        <v>102368093</v>
      </c>
    </row>
    <row r="73" spans="1:8" ht="42.75" customHeight="1">
      <c r="A73" s="1">
        <v>70</v>
      </c>
      <c r="B73" s="21" t="s">
        <v>85</v>
      </c>
      <c r="C73" s="1"/>
      <c r="E73" s="74"/>
      <c r="F73" s="73">
        <v>170000000</v>
      </c>
      <c r="H73" s="20">
        <f>H72+Table13[[#This Row],[مبلغ ورود]]-Table13[[#This Row],[مبلغ خروج]]</f>
        <v>272368093</v>
      </c>
    </row>
    <row r="74" spans="1:8" ht="42.75" customHeight="1">
      <c r="A74" s="1">
        <v>71</v>
      </c>
      <c r="B74" s="21" t="s">
        <v>87</v>
      </c>
      <c r="C74" s="1">
        <v>944011</v>
      </c>
      <c r="D74" s="19" t="s">
        <v>34</v>
      </c>
      <c r="E74" s="74" t="s">
        <v>86</v>
      </c>
      <c r="G74" s="20">
        <v>113220372</v>
      </c>
      <c r="H74" s="20">
        <f>H73+Table13[[#This Row],[مبلغ ورود]]-Table13[[#This Row],[مبلغ خروج]]</f>
        <v>159147721</v>
      </c>
    </row>
    <row r="75" spans="1:8" ht="42.75" customHeight="1">
      <c r="A75" s="1">
        <v>72</v>
      </c>
      <c r="B75" s="21" t="s">
        <v>87</v>
      </c>
      <c r="C75" s="1">
        <v>944012</v>
      </c>
      <c r="D75" s="19" t="str">
        <f>D74</f>
        <v>بانک اقتصاد نوین</v>
      </c>
      <c r="E75" s="74" t="str">
        <f>E52</f>
        <v>واریز به شماره حساب 2110100714007نزد بانک ملی شعبه امانیه کد222بنام مالیات حقوق بخش خصوصی شمال تهران جهت پرداخت مالیات حقوق تیر ماه و الحاقیه آن در وجه سازمان امور مالیاتی، واحد 401623</v>
      </c>
      <c r="G75" s="20">
        <v>47247394</v>
      </c>
      <c r="H75" s="20">
        <f>H74+Table13[[#This Row],[مبلغ ورود]]-Table13[[#This Row],[مبلغ خروج]]</f>
        <v>111900327</v>
      </c>
    </row>
    <row r="76" spans="1:8" ht="42.75" customHeight="1">
      <c r="A76" s="1">
        <v>73</v>
      </c>
      <c r="B76" s="21" t="s">
        <v>87</v>
      </c>
      <c r="C76" s="1">
        <v>944013</v>
      </c>
      <c r="D76" s="19" t="s">
        <v>34</v>
      </c>
      <c r="E76" s="74" t="str">
        <f>E53</f>
        <v>واریز به شماره حساب  2110101614003  به نام اداره کل امور مالیاتی جهت پرداخت مالیات حقوق تیر ماه 96، واحد 881521</v>
      </c>
      <c r="G76" s="20">
        <v>8146109</v>
      </c>
      <c r="H76" s="53">
        <f>H75+Table13[[#This Row],[مبلغ ورود]]-Table13[[#This Row],[مبلغ خروج]]</f>
        <v>103754218</v>
      </c>
    </row>
    <row r="77" spans="1:8" ht="42.75" customHeight="1">
      <c r="A77" s="1">
        <v>74</v>
      </c>
      <c r="B77" s="21"/>
      <c r="C77" s="1"/>
      <c r="E77" s="74"/>
      <c r="F77" s="73">
        <v>240000000</v>
      </c>
      <c r="H77" s="20">
        <f>H76+Table13[[#This Row],[مبلغ ورود]]-Table13[[#This Row],[مبلغ خروج]]</f>
        <v>343754218</v>
      </c>
    </row>
    <row r="78" spans="1:8" ht="42.75" customHeight="1">
      <c r="A78" s="1">
        <v>75</v>
      </c>
      <c r="B78" s="21" t="str">
        <f>B76</f>
        <v>96/07/01</v>
      </c>
      <c r="C78" s="1">
        <v>944014</v>
      </c>
      <c r="D78" s="19" t="str">
        <f>D76</f>
        <v>بانک اقتصاد نوین</v>
      </c>
      <c r="E78" s="74" t="s">
        <v>88</v>
      </c>
      <c r="G78" s="20">
        <v>235440000</v>
      </c>
      <c r="H78" s="20">
        <f>H77+Table13[[#This Row],[مبلغ ورود]]-Table13[[#This Row],[مبلغ خروج]]</f>
        <v>108314218</v>
      </c>
    </row>
    <row r="79" spans="1:8" ht="42.75" customHeight="1">
      <c r="A79" s="1">
        <v>76</v>
      </c>
      <c r="B79" s="21" t="str">
        <f>B78</f>
        <v>96/07/01</v>
      </c>
      <c r="C79" s="1">
        <v>944015</v>
      </c>
      <c r="D79" s="19" t="str">
        <f>D78</f>
        <v>بانک اقتصاد نوین</v>
      </c>
      <c r="E79" s="74" t="s">
        <v>83</v>
      </c>
      <c r="G79" s="20">
        <v>38150000</v>
      </c>
      <c r="H79" s="20">
        <f>H78+Table13[[#This Row],[مبلغ ورود]]-Table13[[#This Row],[مبلغ خروج]]</f>
        <v>70164218</v>
      </c>
    </row>
    <row r="80" spans="1:8" ht="42.75" customHeight="1">
      <c r="A80" s="1">
        <v>77</v>
      </c>
      <c r="B80" s="21"/>
      <c r="C80" s="1"/>
      <c r="D80" s="34"/>
      <c r="E80" s="74"/>
      <c r="F80" s="73">
        <v>1000000000</v>
      </c>
      <c r="G80" s="35"/>
      <c r="H80" s="20">
        <f>H79+Table13[[#This Row],[مبلغ ورود]]-Table13[[#This Row],[مبلغ خروج]]</f>
        <v>1070164218</v>
      </c>
    </row>
    <row r="81" spans="1:8" ht="42.75" customHeight="1">
      <c r="A81" s="1">
        <v>78</v>
      </c>
      <c r="B81" s="21" t="s">
        <v>89</v>
      </c>
      <c r="C81" s="1">
        <v>944016</v>
      </c>
      <c r="D81" s="19" t="str">
        <f>D78</f>
        <v>بانک اقتصاد نوین</v>
      </c>
      <c r="E81" s="74"/>
      <c r="G81" s="20">
        <v>361133849</v>
      </c>
      <c r="H81" s="20">
        <f>H80+Table13[[#This Row],[مبلغ ورود]]-Table13[[#This Row],[مبلغ خروج]]</f>
        <v>709030369</v>
      </c>
    </row>
    <row r="82" spans="1:8" ht="42.75" customHeight="1">
      <c r="A82" s="1">
        <v>79</v>
      </c>
      <c r="B82" s="21" t="str">
        <f>B81</f>
        <v>96/07/04</v>
      </c>
      <c r="C82" s="1">
        <v>944017</v>
      </c>
      <c r="D82" s="19" t="str">
        <f>D81</f>
        <v>بانک اقتصاد نوین</v>
      </c>
      <c r="E82" s="74"/>
      <c r="G82" s="20">
        <v>372937850</v>
      </c>
      <c r="H82" s="53">
        <f>H81+Table13[[#This Row],[مبلغ ورود]]-Table13[[#This Row],[مبلغ خروج]]</f>
        <v>336092519</v>
      </c>
    </row>
    <row r="83" spans="1:8" ht="42.75" customHeight="1">
      <c r="A83" s="1">
        <v>80</v>
      </c>
      <c r="B83" s="21" t="str">
        <f>B82</f>
        <v>96/07/04</v>
      </c>
      <c r="C83" s="1">
        <v>944018</v>
      </c>
      <c r="D83" s="19" t="str">
        <f>D81</f>
        <v>بانک اقتصاد نوین</v>
      </c>
      <c r="E83" s="74"/>
      <c r="G83" s="20">
        <v>61200000</v>
      </c>
      <c r="H83" s="20">
        <f>H82+Table13[[#This Row],[مبلغ ورود]]-Table13[[#This Row],[مبلغ خروج]]</f>
        <v>274892519</v>
      </c>
    </row>
    <row r="84" spans="1:8" ht="42.75" customHeight="1">
      <c r="A84" s="1">
        <v>81</v>
      </c>
      <c r="B84" s="21" t="str">
        <f>B83</f>
        <v>96/07/04</v>
      </c>
      <c r="C84" s="1">
        <v>944019</v>
      </c>
      <c r="D84" s="19" t="str">
        <f>D83</f>
        <v>بانک اقتصاد نوین</v>
      </c>
      <c r="E84" s="74"/>
      <c r="G84" s="20">
        <v>189000000</v>
      </c>
      <c r="H84" s="20">
        <f>H83+Table13[[#This Row],[مبلغ ورود]]-Table13[[#This Row],[مبلغ خروج]]</f>
        <v>85892519</v>
      </c>
    </row>
    <row r="85" spans="1:8" ht="42.75" customHeight="1">
      <c r="A85" s="1">
        <v>82</v>
      </c>
      <c r="B85" s="21" t="str">
        <f>B84</f>
        <v>96/07/04</v>
      </c>
      <c r="C85" s="1">
        <v>944020</v>
      </c>
      <c r="D85" s="19" t="str">
        <f>D83</f>
        <v>بانک اقتصاد نوین</v>
      </c>
      <c r="E85" s="74"/>
      <c r="G85" s="20">
        <v>20000000</v>
      </c>
      <c r="H85" s="20">
        <f>H84+Table13[[#This Row],[مبلغ ورود]]-Table13[[#This Row],[مبلغ خروج]]</f>
        <v>65892519</v>
      </c>
    </row>
    <row r="86" spans="1:8" ht="42.75" customHeight="1">
      <c r="A86" s="1">
        <v>83</v>
      </c>
      <c r="B86" s="21"/>
      <c r="C86" s="1"/>
      <c r="D86" s="36"/>
      <c r="E86" s="74"/>
      <c r="F86" s="73">
        <v>200000000</v>
      </c>
      <c r="G86" s="37"/>
      <c r="H86" s="20">
        <f>H85+Table13[[#This Row],[مبلغ ورود]]-Table13[[#This Row],[مبلغ خروج]]</f>
        <v>265892519</v>
      </c>
    </row>
    <row r="87" spans="1:8" ht="42.75" customHeight="1">
      <c r="A87" s="1">
        <v>84</v>
      </c>
      <c r="B87" s="21" t="s">
        <v>90</v>
      </c>
      <c r="C87" s="1">
        <v>944021</v>
      </c>
      <c r="D87" s="19" t="str">
        <f>D85</f>
        <v>بانک اقتصاد نوین</v>
      </c>
      <c r="E87" s="74" t="str">
        <f>E72</f>
        <v>حواله ساتنا به حساب IR440120020000005715330360 نزد بانک ملت به نام آقای محسن خستو بابت شارژ تنخواه</v>
      </c>
      <c r="G87" s="20">
        <v>200000000</v>
      </c>
      <c r="H87" s="20">
        <f>H86+Table13[[#This Row],[مبلغ ورود]]-Table13[[#This Row],[مبلغ خروج]]</f>
        <v>65892519</v>
      </c>
    </row>
    <row r="88" spans="1:8" ht="42.75" customHeight="1">
      <c r="A88" s="1">
        <v>85</v>
      </c>
      <c r="B88" s="21" t="s">
        <v>110</v>
      </c>
      <c r="C88" s="1"/>
      <c r="E88" s="74" t="s">
        <v>111</v>
      </c>
      <c r="G88" s="20">
        <v>350000</v>
      </c>
      <c r="H88" s="53">
        <f>H87+Table13[[#This Row],[مبلغ ورود]]-Table13[[#This Row],[مبلغ خروج]]</f>
        <v>65542519</v>
      </c>
    </row>
    <row r="89" spans="1:8" ht="42.75" customHeight="1">
      <c r="A89" s="1">
        <v>86</v>
      </c>
      <c r="B89" s="21"/>
      <c r="C89" s="1"/>
      <c r="D89" s="36"/>
      <c r="E89" s="74"/>
      <c r="F89" s="73">
        <v>220000000</v>
      </c>
      <c r="G89" s="37"/>
      <c r="H89" s="20">
        <f>H88+Table13[[#This Row],[مبلغ ورود]]-Table13[[#This Row],[مبلغ خروج]]</f>
        <v>285542519</v>
      </c>
    </row>
    <row r="90" spans="1:8" ht="42.75" customHeight="1">
      <c r="A90" s="1">
        <v>87</v>
      </c>
      <c r="B90" s="21" t="s">
        <v>92</v>
      </c>
      <c r="C90" s="1">
        <v>944022</v>
      </c>
      <c r="D90" s="19" t="str">
        <f>D87</f>
        <v>بانک اقتصاد نوین</v>
      </c>
      <c r="E90" s="74" t="s">
        <v>91</v>
      </c>
      <c r="G90" s="20">
        <v>59950000</v>
      </c>
      <c r="H90" s="20">
        <f>H89+Table13[[#This Row],[مبلغ ورود]]-Table13[[#This Row],[مبلغ خروج]]</f>
        <v>225592519</v>
      </c>
    </row>
    <row r="91" spans="1:8" ht="42.75" customHeight="1">
      <c r="A91" s="1">
        <v>88</v>
      </c>
      <c r="B91" s="21" t="s">
        <v>92</v>
      </c>
      <c r="C91" s="1">
        <v>944023</v>
      </c>
      <c r="D91" s="19" t="str">
        <f>D90</f>
        <v>بانک اقتصاد نوین</v>
      </c>
      <c r="E91" s="74" t="str">
        <f>E87</f>
        <v>حواله ساتنا به حساب IR440120020000005715330360 نزد بانک ملت به نام آقای محسن خستو بابت شارژ تنخواه</v>
      </c>
      <c r="G91" s="35">
        <v>210000000</v>
      </c>
      <c r="H91" s="20">
        <f>H90+Table13[[#This Row],[مبلغ ورود]]-Table13[[#This Row],[مبلغ خروج]]</f>
        <v>15592519</v>
      </c>
    </row>
    <row r="92" spans="1:8" ht="42.75" customHeight="1">
      <c r="A92" s="1">
        <v>89</v>
      </c>
      <c r="B92" s="21"/>
      <c r="C92" s="1"/>
      <c r="D92" s="36"/>
      <c r="E92" s="74"/>
      <c r="F92" s="73">
        <v>100000000</v>
      </c>
      <c r="G92" s="37"/>
      <c r="H92" s="20">
        <f>H91+Table13[[#This Row],[مبلغ ورود]]-Table13[[#This Row],[مبلغ خروج]]</f>
        <v>115592519</v>
      </c>
    </row>
    <row r="93" spans="1:8" ht="42.75" customHeight="1">
      <c r="A93" s="1">
        <v>90</v>
      </c>
      <c r="B93" s="21" t="s">
        <v>93</v>
      </c>
      <c r="C93" s="1">
        <v>944024</v>
      </c>
      <c r="D93" s="19" t="str">
        <f>D91</f>
        <v>بانک اقتصاد نوین</v>
      </c>
      <c r="E93" s="74" t="s">
        <v>94</v>
      </c>
      <c r="G93" s="20">
        <v>81000000</v>
      </c>
      <c r="H93" s="20">
        <f>H92+Table13[[#This Row],[مبلغ ورود]]-Table13[[#This Row],[مبلغ خروج]]</f>
        <v>34592519</v>
      </c>
    </row>
    <row r="94" spans="1:8" ht="42.75" customHeight="1">
      <c r="A94" s="1">
        <v>91</v>
      </c>
      <c r="C94" s="1"/>
      <c r="D94" s="36"/>
      <c r="E94" s="74" t="s">
        <v>144</v>
      </c>
      <c r="F94" s="73">
        <v>63339513</v>
      </c>
      <c r="G94" s="35"/>
      <c r="H94" s="53">
        <f>H93+Table13[[#This Row],[مبلغ ورود]]-Table13[[#This Row],[مبلغ خروج]]</f>
        <v>97932032</v>
      </c>
    </row>
    <row r="95" spans="1:8" ht="42.75" customHeight="1">
      <c r="A95" s="1">
        <v>92</v>
      </c>
      <c r="B95" s="21" t="s">
        <v>95</v>
      </c>
      <c r="C95" s="1">
        <v>944025</v>
      </c>
      <c r="D95" s="19" t="str">
        <f>D93</f>
        <v>بانک اقتصاد نوین</v>
      </c>
      <c r="E95" s="74" t="s">
        <v>96</v>
      </c>
      <c r="G95" s="20">
        <v>40500000</v>
      </c>
      <c r="H95" s="20">
        <f>H94+Table13[[#This Row],[مبلغ ورود]]-Table13[[#This Row],[مبلغ خروج]]</f>
        <v>57432032</v>
      </c>
    </row>
    <row r="96" spans="1:8" ht="42.75" customHeight="1">
      <c r="A96" s="1">
        <v>93</v>
      </c>
      <c r="B96" s="21" t="s">
        <v>95</v>
      </c>
      <c r="C96" s="1">
        <v>944026</v>
      </c>
      <c r="D96" s="19" t="str">
        <f>D95</f>
        <v>بانک اقتصاد نوین</v>
      </c>
      <c r="E96" s="74" t="str">
        <f>E91</f>
        <v>حواله ساتنا به حساب IR440120020000005715330360 نزد بانک ملت به نام آقای محسن خستو بابت شارژ تنخواه</v>
      </c>
      <c r="G96" s="20">
        <v>20000000</v>
      </c>
      <c r="H96" s="20">
        <f>H95+Table13[[#This Row],[مبلغ ورود]]-Table13[[#This Row],[مبلغ خروج]]</f>
        <v>37432032</v>
      </c>
    </row>
    <row r="97" spans="1:8" ht="42.75" customHeight="1">
      <c r="A97" s="1">
        <v>94</v>
      </c>
      <c r="B97" s="21"/>
      <c r="C97" s="1"/>
      <c r="D97" s="141"/>
      <c r="E97" s="74"/>
      <c r="F97" s="73">
        <v>200000000</v>
      </c>
      <c r="G97" s="38"/>
      <c r="H97" s="20">
        <f>H96+Table13[[#This Row],[مبلغ ورود]]-Table13[[#This Row],[مبلغ خروج]]</f>
        <v>237432032</v>
      </c>
    </row>
    <row r="98" spans="1:8" ht="42.75" customHeight="1">
      <c r="A98" s="1">
        <v>95</v>
      </c>
      <c r="B98" s="21" t="s">
        <v>97</v>
      </c>
      <c r="C98" s="1">
        <v>944027</v>
      </c>
      <c r="D98" s="19" t="str">
        <f>D95</f>
        <v>بانک اقتصاد نوین</v>
      </c>
      <c r="E98" s="74" t="s">
        <v>98</v>
      </c>
      <c r="G98" s="20">
        <v>41017967</v>
      </c>
      <c r="H98" s="20">
        <f>H97+Table13[[#This Row],[مبلغ ورود]]-Table13[[#This Row],[مبلغ خروج]]</f>
        <v>196414065</v>
      </c>
    </row>
    <row r="99" spans="1:8" ht="42.75" customHeight="1">
      <c r="A99" s="1">
        <v>96</v>
      </c>
      <c r="B99" s="21"/>
      <c r="C99" s="1"/>
      <c r="E99" s="74" t="str">
        <f>E101</f>
        <v>کارمزد چک رمزدار</v>
      </c>
      <c r="G99" s="20">
        <v>50000</v>
      </c>
      <c r="H99" s="20">
        <f>H98+Table13[[#This Row],[مبلغ ورود]]-Table13[[#This Row],[مبلغ خروج]]</f>
        <v>196364065</v>
      </c>
    </row>
    <row r="100" spans="1:8" ht="42.75" customHeight="1">
      <c r="A100" s="1">
        <v>97</v>
      </c>
      <c r="B100" s="21" t="s">
        <v>97</v>
      </c>
      <c r="C100" s="1">
        <v>944028</v>
      </c>
      <c r="D100" s="19" t="str">
        <f>D98</f>
        <v>بانک اقتصاد نوین</v>
      </c>
      <c r="E100" s="74" t="s">
        <v>99</v>
      </c>
      <c r="G100" s="20">
        <v>8928774</v>
      </c>
      <c r="H100" s="53">
        <f>H99+Table13[[#This Row],[مبلغ ورود]]-Table13[[#This Row],[مبلغ خروج]]</f>
        <v>187435291</v>
      </c>
    </row>
    <row r="101" spans="1:8" ht="42.75" customHeight="1">
      <c r="A101" s="1">
        <v>98</v>
      </c>
      <c r="B101" s="21"/>
      <c r="C101" s="1"/>
      <c r="E101" s="74" t="str">
        <f>E103</f>
        <v>کارمزد چک رمزدار</v>
      </c>
      <c r="G101" s="20">
        <v>50000</v>
      </c>
      <c r="H101" s="20">
        <f>H100+Table13[[#This Row],[مبلغ ورود]]-Table13[[#This Row],[مبلغ خروج]]</f>
        <v>187385291</v>
      </c>
    </row>
    <row r="102" spans="1:8" ht="42.75" customHeight="1">
      <c r="A102" s="1">
        <v>99</v>
      </c>
      <c r="B102" s="21" t="s">
        <v>100</v>
      </c>
      <c r="C102" s="1">
        <v>944029</v>
      </c>
      <c r="D102" s="19" t="str">
        <f>D100</f>
        <v>بانک اقتصاد نوین</v>
      </c>
      <c r="E102" s="74" t="s">
        <v>101</v>
      </c>
      <c r="G102" s="20">
        <v>124691288</v>
      </c>
      <c r="H102" s="20">
        <f>H101+Table13[[#This Row],[مبلغ ورود]]-Table13[[#This Row],[مبلغ خروج]]</f>
        <v>62694003</v>
      </c>
    </row>
    <row r="103" spans="1:8" ht="42.75" customHeight="1">
      <c r="A103" s="1">
        <v>100</v>
      </c>
      <c r="B103" s="21"/>
      <c r="C103" s="1"/>
      <c r="E103" s="74" t="s">
        <v>109</v>
      </c>
      <c r="G103" s="20">
        <v>50000</v>
      </c>
      <c r="H103" s="20">
        <f>H102+Table13[[#This Row],[مبلغ ورود]]-Table13[[#This Row],[مبلغ خروج]]</f>
        <v>62644003</v>
      </c>
    </row>
    <row r="104" spans="1:8" ht="42.75" customHeight="1">
      <c r="A104" s="1">
        <v>101</v>
      </c>
      <c r="B104" s="21" t="s">
        <v>102</v>
      </c>
      <c r="C104" s="1">
        <v>944030</v>
      </c>
      <c r="D104" s="19" t="str">
        <f>D98</f>
        <v>بانک اقتصاد نوین</v>
      </c>
      <c r="E104" s="74" t="s">
        <v>103</v>
      </c>
      <c r="G104" s="20">
        <v>57905160</v>
      </c>
      <c r="H104" s="20">
        <f>H103+Table13[[#This Row],[مبلغ ورود]]-Table13[[#This Row],[مبلغ خروج]]</f>
        <v>4738843</v>
      </c>
    </row>
    <row r="105" spans="1:8" ht="42.75" customHeight="1">
      <c r="A105" s="1">
        <v>102</v>
      </c>
      <c r="B105" s="21"/>
      <c r="C105" s="1"/>
      <c r="E105" s="74"/>
      <c r="F105" s="73">
        <v>900000000</v>
      </c>
      <c r="H105" s="20">
        <f>H104+Table13[[#This Row],[مبلغ ورود]]-Table13[[#This Row],[مبلغ خروج]]</f>
        <v>904738843</v>
      </c>
    </row>
    <row r="106" spans="1:8" ht="42.75" customHeight="1">
      <c r="A106" s="1">
        <v>103</v>
      </c>
      <c r="B106" s="21" t="s">
        <v>104</v>
      </c>
      <c r="C106" s="1">
        <v>944031</v>
      </c>
      <c r="D106" s="19" t="str">
        <f>D104</f>
        <v>بانک اقتصاد نوین</v>
      </c>
      <c r="E106" s="74" t="s">
        <v>65</v>
      </c>
      <c r="G106" s="20">
        <v>421906679</v>
      </c>
      <c r="H106" s="53">
        <f>H105+Table13[[#This Row],[مبلغ ورود]]-Table13[[#This Row],[مبلغ خروج]]</f>
        <v>482832164</v>
      </c>
    </row>
    <row r="107" spans="1:8" ht="42.75" customHeight="1">
      <c r="A107" s="1">
        <v>104</v>
      </c>
      <c r="B107" s="21" t="s">
        <v>104</v>
      </c>
      <c r="C107" s="1">
        <v>944033</v>
      </c>
      <c r="D107" s="19" t="str">
        <f>D106</f>
        <v>بانک اقتصاد نوین</v>
      </c>
      <c r="E107" s="74" t="s">
        <v>65</v>
      </c>
      <c r="G107" s="20">
        <v>331753950</v>
      </c>
      <c r="H107" s="20">
        <f>H106+Table13[[#This Row],[مبلغ ورود]]-Table13[[#This Row],[مبلغ خروج]]</f>
        <v>151078214</v>
      </c>
    </row>
    <row r="108" spans="1:8" ht="42.75" customHeight="1">
      <c r="A108" s="1">
        <v>105</v>
      </c>
      <c r="B108" s="21"/>
      <c r="C108" s="1"/>
      <c r="E108" s="74" t="s">
        <v>43</v>
      </c>
      <c r="G108" s="20">
        <v>55000</v>
      </c>
      <c r="H108" s="20">
        <f>H107+Table13[[#This Row],[مبلغ ورود]]-Table13[[#This Row],[مبلغ خروج]]</f>
        <v>151023214</v>
      </c>
    </row>
    <row r="109" spans="1:8" ht="42.75" customHeight="1">
      <c r="A109" s="1">
        <v>106</v>
      </c>
      <c r="B109" s="21" t="s">
        <v>104</v>
      </c>
      <c r="C109" s="1">
        <v>944034</v>
      </c>
      <c r="D109" s="19" t="str">
        <f>D104</f>
        <v>بانک اقتصاد نوین</v>
      </c>
      <c r="E109" s="74" t="s">
        <v>105</v>
      </c>
      <c r="G109" s="20">
        <v>81000000</v>
      </c>
      <c r="H109" s="20">
        <f>H108+Table13[[#This Row],[مبلغ ورود]]-Table13[[#This Row],[مبلغ خروج]]</f>
        <v>70023214</v>
      </c>
    </row>
    <row r="110" spans="1:8" ht="42.75" customHeight="1">
      <c r="A110" s="1">
        <v>107</v>
      </c>
      <c r="B110" s="21" t="s">
        <v>108</v>
      </c>
      <c r="C110" s="1">
        <v>944035</v>
      </c>
      <c r="D110" s="19" t="str">
        <f>D109</f>
        <v>بانک اقتصاد نوین</v>
      </c>
      <c r="E110" s="74" t="s">
        <v>106</v>
      </c>
      <c r="G110" s="20">
        <v>14000000</v>
      </c>
      <c r="H110" s="20">
        <f>H109+Table13[[#This Row],[مبلغ ورود]]-Table13[[#This Row],[مبلغ خروج]]</f>
        <v>56023214</v>
      </c>
    </row>
    <row r="111" spans="1:8" ht="42.75" customHeight="1">
      <c r="A111" s="1">
        <v>108</v>
      </c>
      <c r="B111" s="40" t="s">
        <v>108</v>
      </c>
      <c r="C111" s="39">
        <v>944036</v>
      </c>
      <c r="D111" s="41" t="str">
        <f>D106</f>
        <v>بانک اقتصاد نوین</v>
      </c>
      <c r="E111" s="142" t="s">
        <v>107</v>
      </c>
      <c r="F111" s="77"/>
      <c r="G111" s="20">
        <v>42450000</v>
      </c>
      <c r="H111" s="20">
        <f>H110+Table13[[#This Row],[مبلغ ورود]]-Table13[[#This Row],[مبلغ خروج]]</f>
        <v>13573214</v>
      </c>
    </row>
    <row r="112" spans="1:8" ht="42.75" customHeight="1">
      <c r="A112" s="1">
        <v>109</v>
      </c>
      <c r="B112" s="21"/>
      <c r="C112" s="1"/>
      <c r="E112" s="74"/>
      <c r="F112" s="73">
        <v>100000000</v>
      </c>
      <c r="H112" s="53">
        <f>H111+Table13[[#This Row],[مبلغ ورود]]-Table13[[#This Row],[مبلغ خروج]]</f>
        <v>113573214</v>
      </c>
    </row>
    <row r="113" spans="1:8" ht="42.75" customHeight="1">
      <c r="A113" s="1">
        <v>110</v>
      </c>
      <c r="B113" s="21" t="s">
        <v>108</v>
      </c>
      <c r="C113" s="1">
        <v>944037</v>
      </c>
      <c r="D113" s="19" t="str">
        <f>D110</f>
        <v>بانک اقتصاد نوین</v>
      </c>
      <c r="E113" s="74" t="s">
        <v>113</v>
      </c>
      <c r="G113" s="20">
        <v>20000000</v>
      </c>
      <c r="H113" s="20">
        <f>H112+Table13[[#This Row],[مبلغ ورود]]-Table13[[#This Row],[مبلغ خروج]]</f>
        <v>93573214</v>
      </c>
    </row>
    <row r="114" spans="1:8" ht="42.75" customHeight="1">
      <c r="A114" s="1">
        <v>111</v>
      </c>
      <c r="B114" s="21" t="s">
        <v>108</v>
      </c>
      <c r="C114" s="1">
        <v>944038</v>
      </c>
      <c r="D114" s="19" t="str">
        <f>D111</f>
        <v>بانک اقتصاد نوین</v>
      </c>
      <c r="E114" s="74" t="s">
        <v>114</v>
      </c>
      <c r="G114" s="20">
        <v>47500000</v>
      </c>
      <c r="H114" s="20">
        <f>H113+Table13[[#This Row],[مبلغ ورود]]-Table13[[#This Row],[مبلغ خروج]]</f>
        <v>46073214</v>
      </c>
    </row>
    <row r="115" spans="1:8" ht="42.75" customHeight="1">
      <c r="A115" s="1">
        <v>112</v>
      </c>
      <c r="B115" s="21" t="s">
        <v>116</v>
      </c>
      <c r="C115" s="1">
        <v>944039</v>
      </c>
      <c r="D115" s="19" t="str">
        <f>D113</f>
        <v>بانک اقتصاد نوین</v>
      </c>
      <c r="E115" s="74" t="s">
        <v>115</v>
      </c>
      <c r="G115" s="20">
        <v>13468000</v>
      </c>
      <c r="H115" s="20">
        <f>H114+Table13[[#This Row],[مبلغ ورود]]-Table13[[#This Row],[مبلغ خروج]]</f>
        <v>32605214</v>
      </c>
    </row>
    <row r="116" spans="1:8" ht="42.75" customHeight="1">
      <c r="A116" s="1">
        <v>113</v>
      </c>
      <c r="B116" s="21" t="s">
        <v>116</v>
      </c>
      <c r="C116" s="1">
        <v>944040</v>
      </c>
      <c r="D116" s="19" t="str">
        <f>D114</f>
        <v>بانک اقتصاد نوین</v>
      </c>
      <c r="E116" s="74" t="s">
        <v>117</v>
      </c>
      <c r="G116" s="20">
        <v>6464700</v>
      </c>
      <c r="H116" s="20">
        <f>H115+Table13[[#This Row],[مبلغ ورود]]-Table13[[#This Row],[مبلغ خروج]]</f>
        <v>26140514</v>
      </c>
    </row>
    <row r="117" spans="1:8" ht="42.75" customHeight="1">
      <c r="A117" s="1">
        <v>114</v>
      </c>
      <c r="B117" s="21" t="s">
        <v>122</v>
      </c>
      <c r="C117" s="1"/>
      <c r="D117" s="19" t="str">
        <f t="shared" ref="D117:D132" si="1">D115</f>
        <v>بانک اقتصاد نوین</v>
      </c>
      <c r="E117" s="74"/>
      <c r="F117" s="73">
        <v>280000000</v>
      </c>
      <c r="H117" s="20">
        <f>H116+Table13[[#This Row],[مبلغ ورود]]-Table13[[#This Row],[مبلغ خروج]]</f>
        <v>306140514</v>
      </c>
    </row>
    <row r="118" spans="1:8" ht="42.75" customHeight="1">
      <c r="A118" s="1">
        <v>115</v>
      </c>
      <c r="B118" s="21" t="s">
        <v>122</v>
      </c>
      <c r="C118" s="1">
        <v>944041</v>
      </c>
      <c r="D118" s="19" t="str">
        <f t="shared" si="1"/>
        <v>بانک اقتصاد نوین</v>
      </c>
      <c r="E118" s="74" t="s">
        <v>119</v>
      </c>
      <c r="G118" s="20">
        <v>78161553</v>
      </c>
      <c r="H118" s="53">
        <f>H117+Table13[[#This Row],[مبلغ ورود]]-Table13[[#This Row],[مبلغ خروج]]</f>
        <v>227978961</v>
      </c>
    </row>
    <row r="119" spans="1:8" ht="42.75" customHeight="1">
      <c r="A119" s="1">
        <v>116</v>
      </c>
      <c r="B119" s="21" t="s">
        <v>122</v>
      </c>
      <c r="C119" s="1"/>
      <c r="D119" s="19" t="str">
        <f t="shared" si="1"/>
        <v>بانک اقتصاد نوین</v>
      </c>
      <c r="E119" s="74" t="str">
        <f>E121</f>
        <v>کارمزد چک رمزدار</v>
      </c>
      <c r="G119" s="20">
        <f>G121</f>
        <v>50000</v>
      </c>
      <c r="H119" s="20">
        <f>H118+Table13[[#This Row],[مبلغ ورود]]-Table13[[#This Row],[مبلغ خروج]]</f>
        <v>227928961</v>
      </c>
    </row>
    <row r="120" spans="1:8" ht="42.75" customHeight="1">
      <c r="A120" s="1">
        <v>117</v>
      </c>
      <c r="B120" s="21" t="s">
        <v>122</v>
      </c>
      <c r="C120" s="1">
        <v>944042</v>
      </c>
      <c r="D120" s="19" t="str">
        <f t="shared" si="1"/>
        <v>بانک اقتصاد نوین</v>
      </c>
      <c r="E120" s="74" t="s">
        <v>120</v>
      </c>
      <c r="G120" s="20">
        <v>9676187</v>
      </c>
      <c r="H120" s="20">
        <f>H119+Table13[[#This Row],[مبلغ ورود]]-Table13[[#This Row],[مبلغ خروج]]</f>
        <v>218252774</v>
      </c>
    </row>
    <row r="121" spans="1:8" ht="42.75" customHeight="1">
      <c r="A121" s="1">
        <v>118</v>
      </c>
      <c r="B121" s="21" t="s">
        <v>122</v>
      </c>
      <c r="C121" s="1"/>
      <c r="D121" s="19" t="str">
        <f t="shared" si="1"/>
        <v>بانک اقتصاد نوین</v>
      </c>
      <c r="E121" s="74" t="str">
        <f>E123</f>
        <v>کارمزد چک رمزدار</v>
      </c>
      <c r="G121" s="20">
        <v>50000</v>
      </c>
      <c r="H121" s="20">
        <f>H120+Table13[[#This Row],[مبلغ ورود]]-Table13[[#This Row],[مبلغ خروج]]</f>
        <v>218202774</v>
      </c>
    </row>
    <row r="122" spans="1:8" ht="42.75" customHeight="1">
      <c r="A122" s="1">
        <v>119</v>
      </c>
      <c r="B122" s="21" t="s">
        <v>122</v>
      </c>
      <c r="C122" s="1">
        <v>944043</v>
      </c>
      <c r="D122" s="19" t="str">
        <f t="shared" si="1"/>
        <v>بانک اقتصاد نوین</v>
      </c>
      <c r="E122" s="74" t="s">
        <v>101</v>
      </c>
      <c r="G122" s="20">
        <v>133061105</v>
      </c>
      <c r="H122" s="20">
        <f>H121+Table13[[#This Row],[مبلغ ورود]]-Table13[[#This Row],[مبلغ خروج]]</f>
        <v>85141669</v>
      </c>
    </row>
    <row r="123" spans="1:8" ht="42.75" customHeight="1">
      <c r="A123" s="1">
        <v>120</v>
      </c>
      <c r="B123" s="21" t="s">
        <v>122</v>
      </c>
      <c r="D123" s="19" t="str">
        <f t="shared" si="1"/>
        <v>بانک اقتصاد نوین</v>
      </c>
      <c r="E123" s="74" t="s">
        <v>109</v>
      </c>
      <c r="G123" s="20">
        <v>50000</v>
      </c>
      <c r="H123" s="20">
        <f>H122+Table13[[#This Row],[مبلغ ورود]]-Table13[[#This Row],[مبلغ خروج]]</f>
        <v>85091669</v>
      </c>
    </row>
    <row r="124" spans="1:8" ht="42.75" customHeight="1">
      <c r="A124" s="1">
        <v>121</v>
      </c>
      <c r="B124" s="21" t="s">
        <v>122</v>
      </c>
      <c r="C124" s="1">
        <v>944044</v>
      </c>
      <c r="D124" s="19" t="str">
        <f t="shared" si="1"/>
        <v>بانک اقتصاد نوین</v>
      </c>
      <c r="E124" s="74" t="s">
        <v>118</v>
      </c>
      <c r="G124" s="20">
        <v>9522240</v>
      </c>
      <c r="H124" s="53">
        <f>H123+Table13[[#This Row],[مبلغ ورود]]-Table13[[#This Row],[مبلغ خروج]]</f>
        <v>75569429</v>
      </c>
    </row>
    <row r="125" spans="1:8" ht="42.75" customHeight="1">
      <c r="A125" s="1">
        <v>122</v>
      </c>
      <c r="B125" s="21" t="s">
        <v>122</v>
      </c>
      <c r="C125" s="1">
        <v>944045</v>
      </c>
      <c r="D125" s="19" t="str">
        <f t="shared" si="1"/>
        <v>بانک اقتصاد نوین</v>
      </c>
      <c r="E125" s="74" t="s">
        <v>121</v>
      </c>
      <c r="G125" s="20">
        <v>26450000</v>
      </c>
      <c r="H125" s="20">
        <f>H124+Table13[[#This Row],[مبلغ ورود]]-Table13[[#This Row],[مبلغ خروج]]</f>
        <v>49119429</v>
      </c>
    </row>
    <row r="126" spans="1:8" ht="42.75" customHeight="1">
      <c r="A126" s="1">
        <v>123</v>
      </c>
      <c r="B126" s="21" t="s">
        <v>123</v>
      </c>
      <c r="C126" s="1">
        <v>944046</v>
      </c>
      <c r="D126" s="19" t="str">
        <f t="shared" si="1"/>
        <v>بانک اقتصاد نوین</v>
      </c>
      <c r="E126" s="74" t="str">
        <f>E96</f>
        <v>حواله ساتنا به حساب IR440120020000005715330360 نزد بانک ملت به نام آقای محسن خستو بابت شارژ تنخواه</v>
      </c>
      <c r="G126" s="20">
        <v>20000000</v>
      </c>
      <c r="H126" s="20">
        <f>H125+Table13[[#This Row],[مبلغ ورود]]-Table13[[#This Row],[مبلغ خروج]]</f>
        <v>29119429</v>
      </c>
    </row>
    <row r="127" spans="1:8" ht="42.75" customHeight="1">
      <c r="A127" s="1">
        <v>124</v>
      </c>
      <c r="B127" s="21"/>
      <c r="C127" s="1"/>
      <c r="E127" s="74"/>
      <c r="F127" s="73">
        <v>1200000000</v>
      </c>
      <c r="H127" s="20">
        <f>H126+Table13[[#This Row],[مبلغ ورود]]-Table13[[#This Row],[مبلغ خروج]]</f>
        <v>1229119429</v>
      </c>
    </row>
    <row r="128" spans="1:8" ht="42.75" customHeight="1">
      <c r="A128" s="1">
        <v>125</v>
      </c>
      <c r="B128" s="21" t="s">
        <v>126</v>
      </c>
      <c r="C128" s="1">
        <v>944047</v>
      </c>
      <c r="D128" s="19" t="str">
        <f>D125</f>
        <v>بانک اقتصاد نوین</v>
      </c>
      <c r="E128" s="74" t="s">
        <v>124</v>
      </c>
      <c r="G128" s="20">
        <v>32850000</v>
      </c>
      <c r="H128" s="20">
        <f>H127+Table13[[#This Row],[مبلغ ورود]]-Table13[[#This Row],[مبلغ خروج]]</f>
        <v>1196269429</v>
      </c>
    </row>
    <row r="129" spans="1:8" ht="42.75" customHeight="1">
      <c r="A129" s="1">
        <v>126</v>
      </c>
      <c r="B129" s="21" t="s">
        <v>126</v>
      </c>
      <c r="C129" s="1">
        <v>944048</v>
      </c>
      <c r="D129" s="19" t="str">
        <f>D126</f>
        <v>بانک اقتصاد نوین</v>
      </c>
      <c r="E129" s="142" t="s">
        <v>125</v>
      </c>
      <c r="G129" s="20">
        <v>42580000</v>
      </c>
      <c r="H129" s="20">
        <f>H128+Table13[[#This Row],[مبلغ ورود]]-Table13[[#This Row],[مبلغ خروج]]</f>
        <v>1153689429</v>
      </c>
    </row>
    <row r="130" spans="1:8" ht="42.75" customHeight="1">
      <c r="A130" s="1">
        <v>127</v>
      </c>
      <c r="B130" s="21" t="s">
        <v>126</v>
      </c>
      <c r="C130" s="1">
        <v>944049</v>
      </c>
      <c r="D130" s="19" t="str">
        <f t="shared" si="1"/>
        <v>بانک اقتصاد نوین</v>
      </c>
      <c r="E130" s="74" t="s">
        <v>65</v>
      </c>
      <c r="G130" s="20">
        <v>495832546</v>
      </c>
      <c r="H130" s="53">
        <f>H129+Table13[[#This Row],[مبلغ ورود]]-Table13[[#This Row],[مبلغ خروج]]</f>
        <v>657856883</v>
      </c>
    </row>
    <row r="131" spans="1:8" ht="42.75" customHeight="1">
      <c r="A131" s="1">
        <v>128</v>
      </c>
      <c r="B131" s="21" t="s">
        <v>126</v>
      </c>
      <c r="C131" s="1">
        <v>944050</v>
      </c>
      <c r="D131" s="19" t="str">
        <f t="shared" si="1"/>
        <v>بانک اقتصاد نوین</v>
      </c>
      <c r="E131" s="74" t="s">
        <v>65</v>
      </c>
      <c r="G131" s="20">
        <v>496140540</v>
      </c>
      <c r="H131" s="20">
        <f>H130+Table13[[#This Row],[مبلغ ورود]]-Table13[[#This Row],[مبلغ خروج]]</f>
        <v>161716343</v>
      </c>
    </row>
    <row r="132" spans="1:8" ht="42.75" customHeight="1">
      <c r="A132" s="1">
        <v>129</v>
      </c>
      <c r="B132" s="21" t="s">
        <v>126</v>
      </c>
      <c r="C132" s="1">
        <v>757101</v>
      </c>
      <c r="D132" s="19" t="str">
        <f t="shared" si="1"/>
        <v>بانک اقتصاد نوین</v>
      </c>
      <c r="E132" s="74" t="s">
        <v>127</v>
      </c>
      <c r="G132" s="20">
        <v>108000000</v>
      </c>
      <c r="H132" s="20">
        <f>H131+Table13[[#This Row],[مبلغ ورود]]-Table13[[#This Row],[مبلغ خروج]]</f>
        <v>53716343</v>
      </c>
    </row>
    <row r="133" spans="1:8" ht="42.75" customHeight="1">
      <c r="A133" s="1">
        <v>130</v>
      </c>
      <c r="B133" s="21"/>
      <c r="C133" s="1"/>
      <c r="D133" s="55"/>
      <c r="E133" s="74"/>
      <c r="F133" s="73">
        <v>1300000000</v>
      </c>
      <c r="G133" s="54"/>
      <c r="H133" s="20">
        <f>H132+Table13[[#This Row],[مبلغ ورود]]-Table13[[#This Row],[مبلغ خروج]]</f>
        <v>1353716343</v>
      </c>
    </row>
    <row r="134" spans="1:8" ht="42.75" customHeight="1">
      <c r="A134" s="1">
        <v>131</v>
      </c>
      <c r="B134" s="21" t="s">
        <v>128</v>
      </c>
      <c r="C134" s="1">
        <v>757102</v>
      </c>
      <c r="D134" s="19" t="str">
        <f>D131</f>
        <v>بانک اقتصاد نوین</v>
      </c>
      <c r="E134" s="74" t="s">
        <v>130</v>
      </c>
      <c r="H134" s="20">
        <f>H133+Table13[[#This Row],[مبلغ ورود]]-Table13[[#This Row],[مبلغ خروج]]</f>
        <v>1353716343</v>
      </c>
    </row>
    <row r="135" spans="1:8" ht="42.75" customHeight="1">
      <c r="A135" s="1">
        <v>132</v>
      </c>
      <c r="B135" s="21" t="s">
        <v>128</v>
      </c>
      <c r="C135" s="1">
        <v>757103</v>
      </c>
      <c r="D135" s="19" t="str">
        <f>D132</f>
        <v>بانک اقتصاد نوین</v>
      </c>
      <c r="E135" s="74" t="str">
        <f>E126</f>
        <v>حواله ساتنا به حساب IR440120020000005715330360 نزد بانک ملت به نام آقای محسن خستو بابت شارژ تنخواه</v>
      </c>
      <c r="G135" s="20">
        <v>20000000</v>
      </c>
      <c r="H135" s="20">
        <f>H134+Table13[[#This Row],[مبلغ ورود]]-Table13[[#This Row],[مبلغ خروج]]</f>
        <v>1333716343</v>
      </c>
    </row>
    <row r="136" spans="1:8" ht="42.75" customHeight="1">
      <c r="A136" s="1">
        <v>133</v>
      </c>
      <c r="B136" s="21" t="s">
        <v>128</v>
      </c>
      <c r="C136" s="1">
        <v>757104</v>
      </c>
      <c r="D136" s="55"/>
      <c r="E136" s="74" t="s">
        <v>129</v>
      </c>
      <c r="G136" s="20">
        <v>17082000</v>
      </c>
      <c r="H136" s="53">
        <f>H135+Table13[[#This Row],[مبلغ ورود]]-Table13[[#This Row],[مبلغ خروج]]</f>
        <v>1316634343</v>
      </c>
    </row>
    <row r="137" spans="1:8" ht="42.75" customHeight="1">
      <c r="A137" s="1">
        <v>134</v>
      </c>
      <c r="B137" s="21" t="s">
        <v>128</v>
      </c>
      <c r="C137" s="1">
        <v>757105</v>
      </c>
      <c r="D137" s="19" t="str">
        <f>D134</f>
        <v>بانک اقتصاد نوین</v>
      </c>
      <c r="E137" s="74"/>
      <c r="G137" s="20">
        <v>1187706170</v>
      </c>
      <c r="H137" s="20">
        <f>H136+Table13[[#This Row],[مبلغ ورود]]-Table13[[#This Row],[مبلغ خروج]]</f>
        <v>128928173</v>
      </c>
    </row>
    <row r="138" spans="1:8" ht="42.75" customHeight="1">
      <c r="A138" s="1">
        <v>135</v>
      </c>
      <c r="B138" s="21" t="s">
        <v>128</v>
      </c>
      <c r="C138" s="1"/>
      <c r="D138" s="19" t="str">
        <f>D135</f>
        <v>بانک اقتصاد نوین</v>
      </c>
      <c r="E138" s="74"/>
      <c r="F138" s="73">
        <v>330000000</v>
      </c>
      <c r="H138" s="20">
        <f>H137+Table13[[#This Row],[مبلغ ورود]]-Table13[[#This Row],[مبلغ خروج]]</f>
        <v>458928173</v>
      </c>
    </row>
    <row r="139" spans="1:8" ht="42.75" customHeight="1">
      <c r="A139" s="1">
        <v>136</v>
      </c>
      <c r="B139" s="21" t="s">
        <v>131</v>
      </c>
      <c r="C139" s="1">
        <v>757106</v>
      </c>
      <c r="D139" s="55"/>
      <c r="E139" s="147" t="s">
        <v>132</v>
      </c>
      <c r="G139" s="20">
        <v>330000000</v>
      </c>
      <c r="H139" s="20">
        <f>H138+Table13[[#This Row],[مبلغ ورود]]-Table13[[#This Row],[مبلغ خروج]]</f>
        <v>128928173</v>
      </c>
    </row>
    <row r="140" spans="1:8" ht="42.75" customHeight="1">
      <c r="A140" s="1">
        <v>137</v>
      </c>
      <c r="B140" s="21" t="s">
        <v>131</v>
      </c>
      <c r="C140" s="1">
        <v>757107</v>
      </c>
      <c r="D140" s="19" t="str">
        <f>D137</f>
        <v>بانک اقتصاد نوین</v>
      </c>
      <c r="E140" s="74" t="str">
        <f>E135</f>
        <v>حواله ساتنا به حساب IR440120020000005715330360 نزد بانک ملت به نام آقای محسن خستو بابت شارژ تنخواه</v>
      </c>
      <c r="G140" s="20">
        <f>G135</f>
        <v>20000000</v>
      </c>
      <c r="H140" s="20">
        <f>H139+Table13[[#This Row],[مبلغ ورود]]-Table13[[#This Row],[مبلغ خروج]]</f>
        <v>108928173</v>
      </c>
    </row>
    <row r="141" spans="1:8" ht="42.75" customHeight="1">
      <c r="A141" s="1">
        <v>138</v>
      </c>
      <c r="B141" s="21" t="s">
        <v>135</v>
      </c>
      <c r="C141" s="1"/>
      <c r="D141" s="19" t="str">
        <f>D138</f>
        <v>بانک اقتصاد نوین</v>
      </c>
      <c r="E141" s="74"/>
      <c r="F141" s="73">
        <v>330000000</v>
      </c>
      <c r="H141" s="20">
        <f>H140+Table13[[#This Row],[مبلغ ورود]]-Table13[[#This Row],[مبلغ خروج]]</f>
        <v>438928173</v>
      </c>
    </row>
    <row r="142" spans="1:8" ht="42.75" customHeight="1">
      <c r="A142" s="1">
        <v>139</v>
      </c>
      <c r="B142" s="21" t="s">
        <v>135</v>
      </c>
      <c r="C142" s="1">
        <v>757108</v>
      </c>
      <c r="D142" s="55"/>
      <c r="E142" s="146" t="s">
        <v>136</v>
      </c>
      <c r="G142" s="20">
        <v>59700000</v>
      </c>
      <c r="H142" s="53">
        <f>H141+Table13[[#This Row],[مبلغ ورود]]-Table13[[#This Row],[مبلغ خروج]]</f>
        <v>379228173</v>
      </c>
    </row>
    <row r="143" spans="1:8" ht="42.75" customHeight="1">
      <c r="A143" s="1">
        <v>140</v>
      </c>
      <c r="B143" s="21" t="s">
        <v>135</v>
      </c>
      <c r="C143" s="1">
        <v>757109</v>
      </c>
      <c r="D143" s="19" t="str">
        <f>D140</f>
        <v>بانک اقتصاد نوین</v>
      </c>
      <c r="E143" s="74" t="s">
        <v>134</v>
      </c>
      <c r="G143" s="20">
        <v>64845027</v>
      </c>
      <c r="H143" s="20">
        <f>H142+Table13[[#This Row],[مبلغ ورود]]-Table13[[#This Row],[مبلغ خروج]]</f>
        <v>314383146</v>
      </c>
    </row>
    <row r="144" spans="1:8" ht="42.75" customHeight="1">
      <c r="A144" s="1">
        <v>141</v>
      </c>
      <c r="B144" s="21" t="s">
        <v>135</v>
      </c>
      <c r="C144" s="1"/>
      <c r="D144" s="19" t="str">
        <f>D141</f>
        <v>بانک اقتصاد نوین</v>
      </c>
      <c r="E144" s="74" t="s">
        <v>38</v>
      </c>
      <c r="G144" s="20">
        <v>50000</v>
      </c>
      <c r="H144" s="20">
        <f>H143+Table13[[#This Row],[مبلغ ورود]]-Table13[[#This Row],[مبلغ خروج]]</f>
        <v>314333146</v>
      </c>
    </row>
    <row r="145" spans="1:8" ht="42.75" customHeight="1">
      <c r="A145" s="1">
        <v>142</v>
      </c>
      <c r="B145" s="21" t="s">
        <v>135</v>
      </c>
      <c r="C145" s="1">
        <v>757110</v>
      </c>
      <c r="D145" s="55"/>
      <c r="E145" s="74" t="s">
        <v>133</v>
      </c>
      <c r="G145" s="20">
        <v>12009520</v>
      </c>
      <c r="H145" s="20">
        <f>H144+Table13[[#This Row],[مبلغ ورود]]-Table13[[#This Row],[مبلغ خروج]]</f>
        <v>302323626</v>
      </c>
    </row>
    <row r="146" spans="1:8" ht="42.75" customHeight="1">
      <c r="A146" s="1">
        <v>143</v>
      </c>
      <c r="B146" s="21" t="s">
        <v>135</v>
      </c>
      <c r="C146" s="1"/>
      <c r="D146" s="19" t="str">
        <f>D143</f>
        <v>بانک اقتصاد نوین</v>
      </c>
      <c r="E146" s="74" t="s">
        <v>38</v>
      </c>
      <c r="G146" s="20">
        <v>50000</v>
      </c>
      <c r="H146" s="20">
        <f>H145+Table13[[#This Row],[مبلغ ورود]]-Table13[[#This Row],[مبلغ خروج]]</f>
        <v>302273626</v>
      </c>
    </row>
    <row r="147" spans="1:8" ht="42.75" customHeight="1">
      <c r="A147" s="1">
        <v>144</v>
      </c>
      <c r="B147" s="21" t="s">
        <v>135</v>
      </c>
      <c r="C147" s="1">
        <v>757111</v>
      </c>
      <c r="D147" s="19" t="str">
        <f>D144</f>
        <v>بانک اقتصاد نوین</v>
      </c>
      <c r="E147" s="74" t="s">
        <v>137</v>
      </c>
      <c r="G147" s="20">
        <v>153462864</v>
      </c>
      <c r="H147" s="20">
        <f>H146+Table13[[#This Row],[مبلغ ورود]]-Table13[[#This Row],[مبلغ خروج]]</f>
        <v>148810762</v>
      </c>
    </row>
    <row r="148" spans="1:8" ht="42.75" customHeight="1">
      <c r="A148" s="1">
        <v>145</v>
      </c>
      <c r="B148" s="21" t="s">
        <v>135</v>
      </c>
      <c r="C148" s="1"/>
      <c r="D148" s="55"/>
      <c r="E148" s="74" t="s">
        <v>38</v>
      </c>
      <c r="G148" s="20">
        <v>50000</v>
      </c>
      <c r="H148" s="53">
        <f>H147+Table13[[#This Row],[مبلغ ورود]]-Table13[[#This Row],[مبلغ خروج]]</f>
        <v>148760762</v>
      </c>
    </row>
    <row r="149" spans="1:8" ht="42.75" customHeight="1">
      <c r="A149" s="1">
        <v>146</v>
      </c>
      <c r="B149" s="21" t="s">
        <v>138</v>
      </c>
      <c r="C149" s="1">
        <v>757112</v>
      </c>
      <c r="D149" s="19" t="str">
        <f>D146</f>
        <v>بانک اقتصاد نوین</v>
      </c>
      <c r="E149" s="74" t="s">
        <v>31</v>
      </c>
      <c r="G149" s="20">
        <v>20000000</v>
      </c>
      <c r="H149" s="20">
        <f>H148+Table13[[#This Row],[مبلغ ورود]]-Table13[[#This Row],[مبلغ خروج]]</f>
        <v>128760762</v>
      </c>
    </row>
    <row r="150" spans="1:8" ht="42.75" customHeight="1">
      <c r="A150" s="1">
        <v>147</v>
      </c>
      <c r="B150" s="21"/>
      <c r="C150" s="1"/>
      <c r="D150" s="19" t="str">
        <f>D147</f>
        <v>بانک اقتصاد نوین</v>
      </c>
      <c r="E150" s="74"/>
      <c r="F150" s="73">
        <v>1000000000</v>
      </c>
      <c r="H150" s="20">
        <f>H149+Table13[[#This Row],[مبلغ ورود]]-Table13[[#This Row],[مبلغ خروج]]</f>
        <v>1128760762</v>
      </c>
    </row>
    <row r="151" spans="1:8" ht="42.75" customHeight="1">
      <c r="A151" s="1">
        <v>148</v>
      </c>
      <c r="B151" s="21" t="s">
        <v>139</v>
      </c>
      <c r="C151" s="1">
        <v>757113</v>
      </c>
      <c r="D151" s="55"/>
      <c r="E151" s="74" t="s">
        <v>65</v>
      </c>
      <c r="G151" s="20">
        <v>575247324</v>
      </c>
      <c r="H151" s="20">
        <f>H150+Table13[[#This Row],[مبلغ ورود]]-Table13[[#This Row],[مبلغ خروج]]</f>
        <v>553513438</v>
      </c>
    </row>
    <row r="152" spans="1:8" ht="42.75" customHeight="1">
      <c r="A152" s="1">
        <v>149</v>
      </c>
      <c r="B152" s="21" t="str">
        <f>B151</f>
        <v>96/10/05</v>
      </c>
      <c r="C152" s="1">
        <v>757114</v>
      </c>
      <c r="D152" s="19" t="str">
        <f>D149</f>
        <v>بانک اقتصاد نوین</v>
      </c>
      <c r="E152" s="74" t="s">
        <v>65</v>
      </c>
      <c r="G152" s="20">
        <v>374294272</v>
      </c>
      <c r="H152" s="20">
        <f>H151+Table13[[#This Row],[مبلغ ورود]]-Table13[[#This Row],[مبلغ خروج]]</f>
        <v>179219166</v>
      </c>
    </row>
    <row r="153" spans="1:8" ht="42.75" customHeight="1">
      <c r="A153" s="1">
        <v>150</v>
      </c>
      <c r="B153" s="21"/>
      <c r="C153" s="1"/>
      <c r="D153" s="19" t="str">
        <f>D150</f>
        <v>بانک اقتصاد نوین</v>
      </c>
      <c r="E153" s="74" t="s">
        <v>43</v>
      </c>
      <c r="G153" s="20">
        <v>95000</v>
      </c>
      <c r="H153" s="20">
        <f>H152+Table13[[#This Row],[مبلغ ورود]]-Table13[[#This Row],[مبلغ خروج]]</f>
        <v>179124166</v>
      </c>
    </row>
    <row r="154" spans="1:8" ht="42.75" customHeight="1">
      <c r="A154" s="1">
        <v>151</v>
      </c>
      <c r="B154" s="21"/>
      <c r="C154" s="1"/>
      <c r="D154" s="55"/>
      <c r="E154" s="74" t="s">
        <v>142</v>
      </c>
      <c r="G154" s="20">
        <v>60000</v>
      </c>
      <c r="H154" s="53">
        <f>H153+Table13[[#This Row],[مبلغ ورود]]-Table13[[#This Row],[مبلغ خروج]]</f>
        <v>179064166</v>
      </c>
    </row>
    <row r="155" spans="1:8" ht="42.75" customHeight="1">
      <c r="A155" s="1">
        <v>152</v>
      </c>
      <c r="B155" s="21" t="str">
        <f>B151</f>
        <v>96/10/05</v>
      </c>
      <c r="C155" s="1">
        <v>757115</v>
      </c>
      <c r="D155" s="19" t="str">
        <f>D152</f>
        <v>بانک اقتصاد نوین</v>
      </c>
      <c r="E155" s="74" t="s">
        <v>140</v>
      </c>
      <c r="G155" s="20">
        <v>9063000</v>
      </c>
      <c r="H155" s="20">
        <f>H154+Table13[[#This Row],[مبلغ ورود]]-Table13[[#This Row],[مبلغ خروج]]</f>
        <v>170001166</v>
      </c>
    </row>
    <row r="156" spans="1:8" ht="42.75" customHeight="1">
      <c r="A156" s="1">
        <v>153</v>
      </c>
      <c r="B156" s="21" t="str">
        <f>B151</f>
        <v>96/10/05</v>
      </c>
      <c r="C156" s="1">
        <v>757116</v>
      </c>
      <c r="D156" s="19" t="str">
        <f>D153</f>
        <v>بانک اقتصاد نوین</v>
      </c>
      <c r="E156" s="74" t="s">
        <v>141</v>
      </c>
      <c r="G156" s="20">
        <v>33615000</v>
      </c>
      <c r="H156" s="20">
        <f>H155+Table13[[#This Row],[مبلغ ورود]]-Table13[[#This Row],[مبلغ خروج]]</f>
        <v>136386166</v>
      </c>
    </row>
    <row r="157" spans="1:8" ht="42.75" customHeight="1">
      <c r="A157" s="1">
        <v>154</v>
      </c>
      <c r="B157" s="21" t="str">
        <f>B152</f>
        <v>96/10/05</v>
      </c>
      <c r="C157" s="1"/>
      <c r="D157" s="55"/>
      <c r="E157" s="74" t="s">
        <v>143</v>
      </c>
      <c r="F157" s="73">
        <v>3678930000</v>
      </c>
      <c r="G157" s="54"/>
      <c r="H157" s="20">
        <f>H156+Table13[[#This Row],[مبلغ ورود]]-Table13[[#This Row],[مبلغ خروج]]</f>
        <v>3815316166</v>
      </c>
    </row>
    <row r="158" spans="1:8" ht="42.75" customHeight="1">
      <c r="A158" s="1">
        <v>155</v>
      </c>
      <c r="B158" s="21" t="s">
        <v>145</v>
      </c>
      <c r="C158" s="1">
        <v>757117</v>
      </c>
      <c r="D158" s="19" t="str">
        <f>D155</f>
        <v>بانک اقتصاد نوین</v>
      </c>
      <c r="E158" s="74" t="s">
        <v>146</v>
      </c>
      <c r="G158" s="20">
        <v>3815000000</v>
      </c>
      <c r="H158" s="20">
        <f>H157+Table13[[#This Row],[مبلغ ورود]]-Table13[[#This Row],[مبلغ خروج]]</f>
        <v>316166</v>
      </c>
    </row>
    <row r="159" spans="1:8" ht="42.75" customHeight="1">
      <c r="A159" s="1">
        <v>156</v>
      </c>
      <c r="B159" s="21"/>
      <c r="C159" s="1"/>
      <c r="D159" s="57"/>
      <c r="E159" s="74"/>
      <c r="F159" s="73">
        <v>3815000000</v>
      </c>
      <c r="G159" s="56"/>
      <c r="H159" s="20">
        <f>H158+Table13[[#This Row],[مبلغ ورود]]-Table13[[#This Row],[مبلغ خروج]]</f>
        <v>3815316166</v>
      </c>
    </row>
    <row r="160" spans="1:8" ht="42.75" customHeight="1">
      <c r="A160" s="1">
        <v>157</v>
      </c>
      <c r="B160" s="21" t="s">
        <v>149</v>
      </c>
      <c r="C160" s="1">
        <v>757118</v>
      </c>
      <c r="D160" s="19" t="str">
        <f>D156</f>
        <v>بانک اقتصاد نوین</v>
      </c>
      <c r="E160" s="74" t="s">
        <v>147</v>
      </c>
      <c r="G160" s="20">
        <v>59136252</v>
      </c>
      <c r="H160" s="53">
        <f>H159+Table13[[#This Row],[مبلغ ورود]]-Table13[[#This Row],[مبلغ خروج]]</f>
        <v>3756179914</v>
      </c>
    </row>
    <row r="161" spans="1:8" ht="42.75" customHeight="1">
      <c r="A161" s="1">
        <v>158</v>
      </c>
      <c r="B161" s="21" t="s">
        <v>149</v>
      </c>
      <c r="C161" s="1">
        <v>757119</v>
      </c>
      <c r="D161" s="19" t="str">
        <f>D160</f>
        <v>بانک اقتصاد نوین</v>
      </c>
      <c r="E161" s="74" t="s">
        <v>148</v>
      </c>
      <c r="G161" s="20">
        <v>15187991</v>
      </c>
      <c r="H161" s="20">
        <f>H160+Table13[[#This Row],[مبلغ ورود]]-Table13[[#This Row],[مبلغ خروج]]</f>
        <v>3740991923</v>
      </c>
    </row>
    <row r="162" spans="1:8" ht="42.75" customHeight="1">
      <c r="A162" s="1">
        <v>159</v>
      </c>
      <c r="B162" s="21" t="s">
        <v>150</v>
      </c>
      <c r="C162" s="1">
        <v>757120</v>
      </c>
      <c r="D162" s="19" t="str">
        <f>D158</f>
        <v>بانک اقتصاد نوین</v>
      </c>
      <c r="E162" s="74" t="s">
        <v>151</v>
      </c>
      <c r="G162" s="20">
        <v>183710607</v>
      </c>
      <c r="H162" s="20">
        <f>H161+Table13[[#This Row],[مبلغ ورود]]-Table13[[#This Row],[مبلغ خروج]]</f>
        <v>3557281316</v>
      </c>
    </row>
    <row r="163" spans="1:8" ht="42.75" customHeight="1">
      <c r="A163" s="1">
        <v>160</v>
      </c>
      <c r="B163" s="21"/>
      <c r="C163" s="1"/>
      <c r="D163" s="57"/>
      <c r="E163" s="74"/>
      <c r="F163" s="73">
        <v>18000000000</v>
      </c>
      <c r="G163" s="56"/>
      <c r="H163" s="20">
        <f>H162+Table13[[#This Row],[مبلغ ورود]]-Table13[[#This Row],[مبلغ خروج]]</f>
        <v>21557281316</v>
      </c>
    </row>
    <row r="164" spans="1:8" ht="42.75" customHeight="1">
      <c r="A164" s="1">
        <v>161</v>
      </c>
      <c r="B164" s="21" t="s">
        <v>152</v>
      </c>
      <c r="C164" s="1">
        <v>757121</v>
      </c>
      <c r="D164" s="19" t="str">
        <f>D162</f>
        <v>بانک اقتصاد نوین</v>
      </c>
      <c r="E164" s="74" t="s">
        <v>154</v>
      </c>
      <c r="G164" s="20">
        <v>18549276000</v>
      </c>
      <c r="H164" s="20">
        <f>H163+Table13[[#This Row],[مبلغ ورود]]-Table13[[#This Row],[مبلغ خروج]]</f>
        <v>3008005316</v>
      </c>
    </row>
    <row r="165" spans="1:8" ht="42.75" customHeight="1">
      <c r="A165" s="1">
        <v>162</v>
      </c>
      <c r="B165" s="21" t="s">
        <v>153</v>
      </c>
      <c r="C165" s="1">
        <v>757122</v>
      </c>
      <c r="D165" s="19" t="str">
        <f>D160</f>
        <v>بانک اقتصاد نوین</v>
      </c>
      <c r="E165" s="74" t="str">
        <f>E149</f>
        <v>حواله ساتنا به حساب IR440120020000005715330360 نزد بانک ملت به نام آقای محسن خستو بابت شارژ تنخواه</v>
      </c>
      <c r="G165" s="20">
        <v>20000000</v>
      </c>
      <c r="H165" s="53">
        <f>H164+Table13[[#This Row],[مبلغ ورود]]-Table13[[#This Row],[مبلغ خروج]]</f>
        <v>2988005316</v>
      </c>
    </row>
    <row r="166" spans="1:8" ht="48.75" customHeight="1">
      <c r="A166" s="1">
        <v>163</v>
      </c>
      <c r="B166" s="21" t="s">
        <v>153</v>
      </c>
      <c r="C166" s="1">
        <v>757123</v>
      </c>
      <c r="D166" s="19" t="str">
        <f>D165</f>
        <v>بانک اقتصاد نوین</v>
      </c>
      <c r="E166" s="74" t="s">
        <v>155</v>
      </c>
      <c r="H166" s="20">
        <f>H165+Table13[[#This Row],[مبلغ ورود]]-Table13[[#This Row],[مبلغ خروج]]</f>
        <v>2988005316</v>
      </c>
    </row>
    <row r="167" spans="1:8" ht="42.75" customHeight="1">
      <c r="A167" s="1">
        <v>164</v>
      </c>
      <c r="B167" s="21"/>
      <c r="C167" s="1"/>
      <c r="E167" s="74"/>
      <c r="G167" s="20">
        <v>63000000</v>
      </c>
      <c r="H167" s="20">
        <f>H166+Table13[[#This Row],[مبلغ ورود]]-Table13[[#This Row],[مبلغ خروج]]</f>
        <v>2925005316</v>
      </c>
    </row>
    <row r="168" spans="1:8" ht="42.75" customHeight="1">
      <c r="A168" s="1">
        <v>165</v>
      </c>
      <c r="B168" s="21"/>
      <c r="C168" s="1"/>
      <c r="E168" s="74"/>
      <c r="G168" s="20">
        <v>300000000</v>
      </c>
      <c r="H168" s="20">
        <f>H167+Table13[[#This Row],[مبلغ ورود]]-Table13[[#This Row],[مبلغ خروج]]</f>
        <v>2625005316</v>
      </c>
    </row>
    <row r="169" spans="1:8" ht="42.75" customHeight="1">
      <c r="A169" s="1">
        <v>166</v>
      </c>
      <c r="B169" s="21"/>
      <c r="C169" s="1"/>
      <c r="E169" s="74"/>
      <c r="G169" s="20">
        <v>100000000</v>
      </c>
      <c r="H169" s="20">
        <f>H168+Table13[[#This Row],[مبلغ ورود]]-Table13[[#This Row],[مبلغ خروج]]</f>
        <v>2525005316</v>
      </c>
    </row>
    <row r="170" spans="1:8" ht="42.75" customHeight="1">
      <c r="A170" s="1">
        <v>167</v>
      </c>
      <c r="B170" s="21" t="s">
        <v>156</v>
      </c>
      <c r="C170" s="1">
        <v>757127</v>
      </c>
      <c r="D170" s="19" t="str">
        <f>D166</f>
        <v>بانک اقتصاد نوین</v>
      </c>
      <c r="E170" s="74" t="str">
        <f>E165</f>
        <v>حواله ساتنا به حساب IR440120020000005715330360 نزد بانک ملت به نام آقای محسن خستو بابت شارژ تنخواه</v>
      </c>
      <c r="G170" s="20">
        <v>20000000</v>
      </c>
      <c r="H170" s="53">
        <f>H169+Table13[[#This Row],[مبلغ ورود]]-Table13[[#This Row],[مبلغ خروج]]</f>
        <v>2505005316</v>
      </c>
    </row>
    <row r="171" spans="1:8" ht="42.75" customHeight="1">
      <c r="A171" s="1">
        <v>168</v>
      </c>
      <c r="B171" s="21" t="s">
        <v>156</v>
      </c>
      <c r="C171" s="1">
        <v>757128</v>
      </c>
      <c r="D171" s="19" t="str">
        <f t="shared" ref="D171:D185" si="2">D170</f>
        <v>بانک اقتصاد نوین</v>
      </c>
      <c r="E171" s="74" t="s">
        <v>157</v>
      </c>
      <c r="G171" s="20">
        <v>196000000</v>
      </c>
      <c r="H171" s="20">
        <f>H170+Table13[[#This Row],[مبلغ ورود]]-Table13[[#This Row],[مبلغ خروج]]</f>
        <v>2309005316</v>
      </c>
    </row>
    <row r="172" spans="1:8" ht="42.75" customHeight="1">
      <c r="A172" s="1">
        <v>169</v>
      </c>
      <c r="B172" s="21" t="s">
        <v>158</v>
      </c>
      <c r="C172" s="1">
        <v>757129</v>
      </c>
      <c r="D172" s="19" t="str">
        <f t="shared" si="2"/>
        <v>بانک اقتصاد نوین</v>
      </c>
      <c r="E172" s="74" t="str">
        <f>E170</f>
        <v>حواله ساتنا به حساب IR440120020000005715330360 نزد بانک ملت به نام آقای محسن خستو بابت شارژ تنخواه</v>
      </c>
      <c r="G172" s="20">
        <v>20000000</v>
      </c>
      <c r="H172" s="20">
        <f>H171+Table13[[#This Row],[مبلغ ورود]]-Table13[[#This Row],[مبلغ خروج]]</f>
        <v>2289005316</v>
      </c>
    </row>
    <row r="173" spans="1:8" ht="42.75" customHeight="1">
      <c r="A173" s="1">
        <v>170</v>
      </c>
      <c r="B173" s="21" t="s">
        <v>159</v>
      </c>
      <c r="C173" s="1">
        <v>757130</v>
      </c>
      <c r="D173" s="19" t="str">
        <f t="shared" si="2"/>
        <v>بانک اقتصاد نوین</v>
      </c>
      <c r="E173" s="74" t="s">
        <v>160</v>
      </c>
      <c r="G173" s="20">
        <v>148785000</v>
      </c>
      <c r="H173" s="20">
        <f>H172+Table13[[#This Row],[مبلغ ورود]]-Table13[[#This Row],[مبلغ خروج]]</f>
        <v>2140220316</v>
      </c>
    </row>
    <row r="174" spans="1:8" ht="42.75" customHeight="1">
      <c r="A174" s="1">
        <v>171</v>
      </c>
      <c r="B174" s="21" t="s">
        <v>161</v>
      </c>
      <c r="C174" s="1">
        <v>757131</v>
      </c>
      <c r="D174" s="19" t="str">
        <f t="shared" si="2"/>
        <v>بانک اقتصاد نوین</v>
      </c>
      <c r="E174" s="74" t="s">
        <v>162</v>
      </c>
      <c r="G174" s="20">
        <v>521421461</v>
      </c>
      <c r="H174" s="20">
        <f>H173+Table13[[#This Row],[مبلغ ورود]]-Table13[[#This Row],[مبلغ خروج]]</f>
        <v>1618798855</v>
      </c>
    </row>
    <row r="175" spans="1:8" ht="42.75" customHeight="1">
      <c r="A175" s="1">
        <v>172</v>
      </c>
      <c r="B175" s="21" t="s">
        <v>161</v>
      </c>
      <c r="C175" s="1">
        <v>757132</v>
      </c>
      <c r="D175" s="19" t="str">
        <f t="shared" si="2"/>
        <v>بانک اقتصاد نوین</v>
      </c>
      <c r="E175" s="74" t="s">
        <v>163</v>
      </c>
      <c r="G175" s="20">
        <v>484484316</v>
      </c>
      <c r="H175" s="20">
        <f>H174+Table13[[#This Row],[مبلغ ورود]]-Table13[[#This Row],[مبلغ خروج]]</f>
        <v>1134314539</v>
      </c>
    </row>
    <row r="176" spans="1:8" ht="42.75" customHeight="1">
      <c r="A176" s="1">
        <v>173</v>
      </c>
      <c r="B176" s="21" t="s">
        <v>161</v>
      </c>
      <c r="C176" s="1">
        <v>757133</v>
      </c>
      <c r="D176" s="19" t="str">
        <f t="shared" si="2"/>
        <v>بانک اقتصاد نوین</v>
      </c>
      <c r="E176" s="74" t="s">
        <v>164</v>
      </c>
      <c r="G176" s="20">
        <v>19279000</v>
      </c>
      <c r="H176" s="20">
        <f>H175+Table13[[#This Row],[مبلغ ورود]]-Table13[[#This Row],[مبلغ خروج]]</f>
        <v>1115035539</v>
      </c>
    </row>
    <row r="177" spans="1:8" ht="42.75" customHeight="1">
      <c r="A177" s="1">
        <v>174</v>
      </c>
      <c r="B177" s="21" t="s">
        <v>161</v>
      </c>
      <c r="C177" s="1">
        <v>757134</v>
      </c>
      <c r="D177" s="19" t="str">
        <f t="shared" si="2"/>
        <v>بانک اقتصاد نوین</v>
      </c>
      <c r="E177" s="74" t="s">
        <v>165</v>
      </c>
      <c r="G177" s="20">
        <v>290000000</v>
      </c>
      <c r="H177" s="20">
        <f>H176+Table13[[#This Row],[مبلغ ورود]]-Table13[[#This Row],[مبلغ خروج]]</f>
        <v>825035539</v>
      </c>
    </row>
    <row r="178" spans="1:8" ht="42.75" customHeight="1">
      <c r="A178" s="1">
        <v>175</v>
      </c>
      <c r="B178" s="21" t="s">
        <v>161</v>
      </c>
      <c r="C178" s="1">
        <v>757135</v>
      </c>
      <c r="D178" s="19" t="str">
        <f t="shared" si="2"/>
        <v>بانک اقتصاد نوین</v>
      </c>
      <c r="E178" s="74" t="s">
        <v>166</v>
      </c>
      <c r="G178" s="20">
        <v>74224295</v>
      </c>
      <c r="H178" s="20">
        <f>H177+Table13[[#This Row],[مبلغ ورود]]-Table13[[#This Row],[مبلغ خروج]]</f>
        <v>750811244</v>
      </c>
    </row>
    <row r="179" spans="1:8" ht="42.75" customHeight="1">
      <c r="A179" s="1">
        <v>176</v>
      </c>
      <c r="B179" s="21"/>
      <c r="C179" s="1"/>
      <c r="D179" s="60"/>
      <c r="E179" s="74" t="s">
        <v>175</v>
      </c>
      <c r="F179" s="73">
        <v>20674554</v>
      </c>
      <c r="G179" s="61"/>
      <c r="H179" s="20">
        <f>H178+Table13[[#This Row],[مبلغ ورود]]-Table13[[#This Row],[مبلغ خروج]]</f>
        <v>771485798</v>
      </c>
    </row>
    <row r="180" spans="1:8" ht="42.75" customHeight="1">
      <c r="A180" s="1">
        <v>177</v>
      </c>
      <c r="B180" s="21"/>
      <c r="C180" s="1"/>
      <c r="D180" s="58"/>
      <c r="E180" s="74"/>
      <c r="F180" s="73">
        <v>12990000000</v>
      </c>
      <c r="G180" s="59"/>
      <c r="H180" s="20">
        <f>H179+Table13[[#This Row],[مبلغ ورود]]-Table13[[#This Row],[مبلغ خروج]]</f>
        <v>13761485798</v>
      </c>
    </row>
    <row r="181" spans="1:8" ht="42.75" customHeight="1">
      <c r="A181" s="1">
        <v>178</v>
      </c>
      <c r="B181" s="21" t="s">
        <v>167</v>
      </c>
      <c r="C181" s="1">
        <v>757136</v>
      </c>
      <c r="D181" s="19" t="str">
        <f>D178</f>
        <v>بانک اقتصاد نوین</v>
      </c>
      <c r="E181" s="74" t="s">
        <v>180</v>
      </c>
      <c r="G181" s="20">
        <v>180285000</v>
      </c>
      <c r="H181" s="20">
        <f>H180+Table13[[#This Row],[مبلغ ورود]]-Table13[[#This Row],[مبلغ خروج]]</f>
        <v>13581200798</v>
      </c>
    </row>
    <row r="182" spans="1:8" ht="42.75" customHeight="1">
      <c r="A182" s="1">
        <v>179</v>
      </c>
      <c r="B182" s="21" t="s">
        <v>167</v>
      </c>
      <c r="C182" s="1">
        <v>757137</v>
      </c>
      <c r="D182" s="19" t="str">
        <f t="shared" si="2"/>
        <v>بانک اقتصاد نوین</v>
      </c>
      <c r="E182" s="74" t="s">
        <v>168</v>
      </c>
      <c r="G182" s="20">
        <v>27100000</v>
      </c>
      <c r="H182" s="20">
        <f>H181+Table13[[#This Row],[مبلغ ورود]]-Table13[[#This Row],[مبلغ خروج]]</f>
        <v>13554100798</v>
      </c>
    </row>
    <row r="183" spans="1:8" ht="42.75" customHeight="1">
      <c r="A183" s="1">
        <v>180</v>
      </c>
      <c r="B183" s="21" t="s">
        <v>167</v>
      </c>
      <c r="C183" s="1">
        <v>757138</v>
      </c>
      <c r="D183" s="19" t="str">
        <f t="shared" si="2"/>
        <v>بانک اقتصاد نوین</v>
      </c>
      <c r="E183" s="74" t="s">
        <v>172</v>
      </c>
      <c r="G183" s="20">
        <v>17167500</v>
      </c>
      <c r="H183" s="20">
        <f>H182+Table13[[#This Row],[مبلغ ورود]]-Table13[[#This Row],[مبلغ خروج]]</f>
        <v>13536933298</v>
      </c>
    </row>
    <row r="184" spans="1:8" ht="42.75" customHeight="1">
      <c r="A184" s="1">
        <v>181</v>
      </c>
      <c r="B184" s="21" t="s">
        <v>167</v>
      </c>
      <c r="C184" s="1">
        <v>757139</v>
      </c>
      <c r="D184" s="19" t="str">
        <f t="shared" si="2"/>
        <v>بانک اقتصاد نوین</v>
      </c>
      <c r="E184" s="74" t="s">
        <v>169</v>
      </c>
      <c r="G184" s="20">
        <v>7466500</v>
      </c>
      <c r="H184" s="20">
        <f>H183+Table13[[#This Row],[مبلغ ورود]]-Table13[[#This Row],[مبلغ خروج]]</f>
        <v>13529466798</v>
      </c>
    </row>
    <row r="185" spans="1:8" ht="42.75" customHeight="1">
      <c r="A185" s="1">
        <v>182</v>
      </c>
      <c r="B185" s="21" t="s">
        <v>170</v>
      </c>
      <c r="C185" s="1">
        <v>757140</v>
      </c>
      <c r="D185" s="19" t="str">
        <f t="shared" si="2"/>
        <v>بانک اقتصاد نوین</v>
      </c>
      <c r="E185" s="74" t="s">
        <v>171</v>
      </c>
      <c r="G185" s="20">
        <v>13080000000</v>
      </c>
      <c r="H185" s="20">
        <f>H184+Table13[[#This Row],[مبلغ ورود]]-Table13[[#This Row],[مبلغ خروج]]</f>
        <v>449466798</v>
      </c>
    </row>
    <row r="186" spans="1:8" ht="42.75" customHeight="1">
      <c r="A186" s="1">
        <v>183</v>
      </c>
      <c r="B186" s="21"/>
      <c r="C186" s="1"/>
      <c r="D186" s="60"/>
      <c r="E186" s="74"/>
      <c r="F186" s="73">
        <v>300000000</v>
      </c>
      <c r="G186" s="61"/>
      <c r="H186" s="20">
        <f>H185+Table13[[#This Row],[مبلغ ورود]]-Table13[[#This Row],[مبلغ خروج]]</f>
        <v>749466798</v>
      </c>
    </row>
    <row r="187" spans="1:8" ht="42.75" customHeight="1">
      <c r="A187" s="1">
        <v>184</v>
      </c>
      <c r="B187" s="21" t="s">
        <v>173</v>
      </c>
      <c r="C187" s="1">
        <v>757141</v>
      </c>
      <c r="E187" s="74"/>
      <c r="H187" s="20">
        <f>H186+Table13[[#This Row],[مبلغ ورود]]-Table13[[#This Row],[مبلغ خروج]]</f>
        <v>749466798</v>
      </c>
    </row>
    <row r="188" spans="1:8" ht="42.75" customHeight="1">
      <c r="A188" s="1">
        <v>185</v>
      </c>
      <c r="B188" s="21" t="s">
        <v>173</v>
      </c>
      <c r="C188" s="1">
        <v>757142</v>
      </c>
      <c r="E188" s="74"/>
      <c r="H188" s="20">
        <f>H187+Table13[[#This Row],[مبلغ ورود]]-Table13[[#This Row],[مبلغ خروج]]</f>
        <v>749466798</v>
      </c>
    </row>
    <row r="189" spans="1:8" ht="42.75" customHeight="1">
      <c r="A189" s="1">
        <v>186</v>
      </c>
      <c r="B189" s="21" t="s">
        <v>173</v>
      </c>
      <c r="C189" s="1">
        <v>757143</v>
      </c>
      <c r="E189" s="74"/>
      <c r="H189" s="20">
        <f>H188+Table13[[#This Row],[مبلغ ورود]]-Table13[[#This Row],[مبلغ خروج]]</f>
        <v>749466798</v>
      </c>
    </row>
    <row r="190" spans="1:8" ht="42.75" customHeight="1">
      <c r="A190" s="1">
        <v>187</v>
      </c>
      <c r="B190" s="21" t="s">
        <v>173</v>
      </c>
      <c r="C190" s="1">
        <v>757144</v>
      </c>
      <c r="D190" s="19" t="str">
        <f>D185</f>
        <v>بانک اقتصاد نوین</v>
      </c>
      <c r="E190" s="74" t="str">
        <f>E172</f>
        <v>حواله ساتنا به حساب IR440120020000005715330360 نزد بانک ملت به نام آقای محسن خستو بابت شارژ تنخواه</v>
      </c>
      <c r="G190" s="20">
        <v>30000000</v>
      </c>
      <c r="H190" s="20">
        <f>H189+Table13[[#This Row],[مبلغ ورود]]-Table13[[#This Row],[مبلغ خروج]]</f>
        <v>719466798</v>
      </c>
    </row>
    <row r="191" spans="1:8" ht="42.75" customHeight="1">
      <c r="A191" s="1">
        <v>188</v>
      </c>
      <c r="B191" s="21" t="s">
        <v>174</v>
      </c>
      <c r="C191" s="1">
        <v>757145</v>
      </c>
      <c r="D191" s="19" t="str">
        <f>D190</f>
        <v>بانک اقتصاد نوین</v>
      </c>
      <c r="E191" s="74" t="s">
        <v>176</v>
      </c>
      <c r="G191" s="20">
        <v>98444444</v>
      </c>
      <c r="H191" s="20">
        <f>H190+Table13[[#This Row],[مبلغ ورود]]-Table13[[#This Row],[مبلغ خروج]]</f>
        <v>621022354</v>
      </c>
    </row>
    <row r="192" spans="1:8" ht="42.75" customHeight="1">
      <c r="A192" s="1">
        <v>189</v>
      </c>
      <c r="B192" s="21" t="s">
        <v>174</v>
      </c>
      <c r="C192" s="1">
        <v>757146</v>
      </c>
      <c r="D192" s="19" t="str">
        <f>D191</f>
        <v>بانک اقتصاد نوین</v>
      </c>
      <c r="E192" s="74" t="s">
        <v>177</v>
      </c>
      <c r="G192" s="20">
        <v>16100000</v>
      </c>
      <c r="H192" s="20">
        <f>H191+Table13[[#This Row],[مبلغ ورود]]-Table13[[#This Row],[مبلغ خروج]]</f>
        <v>604922354</v>
      </c>
    </row>
    <row r="193" spans="1:8" ht="42.75" customHeight="1">
      <c r="A193" s="1">
        <v>190</v>
      </c>
      <c r="B193" s="21" t="s">
        <v>174</v>
      </c>
      <c r="C193" s="1">
        <v>757147</v>
      </c>
      <c r="D193" s="19" t="str">
        <f>D192</f>
        <v>بانک اقتصاد نوین</v>
      </c>
      <c r="E193" s="74" t="s">
        <v>178</v>
      </c>
      <c r="G193" s="20">
        <v>11550000</v>
      </c>
      <c r="H193" s="20">
        <f>H192+Table13[[#This Row],[مبلغ ورود]]-Table13[[#This Row],[مبلغ خروج]]</f>
        <v>593372354</v>
      </c>
    </row>
    <row r="194" spans="1:8" ht="42.75" customHeight="1">
      <c r="A194" s="1">
        <v>191</v>
      </c>
      <c r="B194" s="21" t="s">
        <v>174</v>
      </c>
      <c r="C194" s="1">
        <v>757148</v>
      </c>
      <c r="D194" s="19" t="str">
        <f>D193</f>
        <v>بانک اقتصاد نوین</v>
      </c>
      <c r="E194" s="74" t="s">
        <v>31</v>
      </c>
      <c r="G194" s="20">
        <v>20000000</v>
      </c>
      <c r="H194" s="20">
        <f>H193+Table13[[#This Row],[مبلغ ورود]]-Table13[[#This Row],[مبلغ خروج]]</f>
        <v>573372354</v>
      </c>
    </row>
    <row r="195" spans="1:8" ht="42.75" customHeight="1">
      <c r="A195" s="1">
        <v>192</v>
      </c>
      <c r="B195" s="21"/>
      <c r="C195" s="1"/>
      <c r="D195" s="62"/>
      <c r="E195" s="74"/>
      <c r="F195" s="73">
        <v>50000</v>
      </c>
      <c r="G195" s="63"/>
      <c r="H195" s="20">
        <f>H194+Table13[[#This Row],[مبلغ ورود]]-Table13[[#This Row],[مبلغ خروج]]</f>
        <v>573422354</v>
      </c>
    </row>
    <row r="196" spans="1:8" ht="42.75" customHeight="1">
      <c r="A196" s="1">
        <v>193</v>
      </c>
      <c r="B196" s="21" t="s">
        <v>174</v>
      </c>
      <c r="C196" s="1">
        <v>757149</v>
      </c>
      <c r="D196" s="19" t="str">
        <f>D194</f>
        <v>بانک اقتصاد نوین</v>
      </c>
      <c r="E196" s="74" t="s">
        <v>179</v>
      </c>
      <c r="G196" s="20">
        <v>28891104</v>
      </c>
      <c r="H196" s="20">
        <v>317796543</v>
      </c>
    </row>
    <row r="197" spans="1:8" ht="42.75" customHeight="1">
      <c r="A197" s="1">
        <v>194</v>
      </c>
      <c r="B197" s="21"/>
      <c r="C197" s="1"/>
      <c r="D197" s="19" t="str">
        <f t="shared" ref="D197:D203" si="3">D196</f>
        <v>بانک اقتصاد نوین</v>
      </c>
      <c r="E197" s="74"/>
      <c r="F197" s="73">
        <v>15000000000</v>
      </c>
      <c r="H197" s="20">
        <f>H196+Table13[[#This Row],[مبلغ ورود]]-Table13[[#This Row],[مبلغ خروج]]</f>
        <v>15317796543</v>
      </c>
    </row>
    <row r="198" spans="1:8" ht="42.75" customHeight="1">
      <c r="A198" s="1">
        <v>195</v>
      </c>
      <c r="B198" s="21" t="s">
        <v>182</v>
      </c>
      <c r="C198" s="1">
        <v>757150</v>
      </c>
      <c r="D198" s="19" t="str">
        <f t="shared" si="3"/>
        <v>بانک اقتصاد نوین</v>
      </c>
      <c r="E198" s="74" t="s">
        <v>171</v>
      </c>
      <c r="G198" s="61">
        <v>13200000000</v>
      </c>
      <c r="H198" s="20">
        <v>2106246543</v>
      </c>
    </row>
    <row r="199" spans="1:8" ht="42.75" customHeight="1">
      <c r="A199" s="1">
        <v>196</v>
      </c>
      <c r="B199" s="21" t="s">
        <v>186</v>
      </c>
      <c r="C199" s="1">
        <v>483801</v>
      </c>
      <c r="D199" s="19" t="str">
        <f>D201</f>
        <v>بانک اقتصاد نوین</v>
      </c>
      <c r="E199" s="74" t="s">
        <v>183</v>
      </c>
      <c r="G199" s="61">
        <v>571896136</v>
      </c>
      <c r="H199" s="20">
        <f>H198+Table13[[#This Row],[مبلغ ورود]]-Table13[[#This Row],[مبلغ خروج]]</f>
        <v>1534350407</v>
      </c>
    </row>
    <row r="200" spans="1:8" ht="42.75" customHeight="1">
      <c r="A200" s="1">
        <v>197</v>
      </c>
      <c r="B200" s="21" t="s">
        <v>186</v>
      </c>
      <c r="C200" s="1">
        <v>483802</v>
      </c>
      <c r="D200" s="19" t="str">
        <f t="shared" si="3"/>
        <v>بانک اقتصاد نوین</v>
      </c>
      <c r="E200" s="74" t="s">
        <v>184</v>
      </c>
      <c r="G200" s="20">
        <v>590891184</v>
      </c>
      <c r="H200" s="20">
        <f>H199+Table13[[#This Row],[مبلغ ورود]]-Table13[[#This Row],[مبلغ خروج]]</f>
        <v>943459223</v>
      </c>
    </row>
    <row r="201" spans="1:8" ht="42.75" customHeight="1">
      <c r="A201" s="1">
        <v>198</v>
      </c>
      <c r="B201" s="21" t="s">
        <v>186</v>
      </c>
      <c r="C201" s="1">
        <v>483803</v>
      </c>
      <c r="D201" s="19" t="str">
        <f>D198</f>
        <v>بانک اقتصاد نوین</v>
      </c>
      <c r="E201" s="74" t="s">
        <v>181</v>
      </c>
      <c r="G201" s="20">
        <v>365677109</v>
      </c>
      <c r="H201" s="20">
        <f>H200+Table13[[#This Row],[مبلغ ورود]]-Table13[[#This Row],[مبلغ خروج]]</f>
        <v>577782114</v>
      </c>
    </row>
    <row r="202" spans="1:8" ht="42.75" customHeight="1">
      <c r="A202" s="1">
        <v>199</v>
      </c>
      <c r="B202" s="21" t="s">
        <v>186</v>
      </c>
      <c r="C202" s="1">
        <v>483804</v>
      </c>
      <c r="D202" s="19" t="str">
        <f>D200</f>
        <v>بانک اقتصاد نوین</v>
      </c>
      <c r="E202" s="74" t="s">
        <v>185</v>
      </c>
      <c r="G202" s="20">
        <v>46800000</v>
      </c>
      <c r="H202" s="20">
        <f>H201+Table13[[#This Row],[مبلغ ورود]]-Table13[[#This Row],[مبلغ خروج]]</f>
        <v>530982114</v>
      </c>
    </row>
    <row r="203" spans="1:8" ht="42.75" customHeight="1">
      <c r="A203" s="1">
        <v>200</v>
      </c>
      <c r="B203" s="21" t="s">
        <v>186</v>
      </c>
      <c r="C203" s="1">
        <v>483805</v>
      </c>
      <c r="D203" s="19" t="str">
        <f t="shared" si="3"/>
        <v>بانک اقتصاد نوین</v>
      </c>
      <c r="E203" s="74" t="s">
        <v>187</v>
      </c>
      <c r="G203" s="20">
        <v>47250000</v>
      </c>
      <c r="H203" s="20">
        <f>H202+Table13[[#This Row],[مبلغ ورود]]-Table13[[#This Row],[مبلغ خروج]]</f>
        <v>483732114</v>
      </c>
    </row>
    <row r="204" spans="1:8" ht="42.75" customHeight="1">
      <c r="A204" s="1">
        <v>201</v>
      </c>
      <c r="B204" s="21" t="s">
        <v>189</v>
      </c>
      <c r="C204" s="1">
        <v>483806</v>
      </c>
      <c r="D204" s="19" t="str">
        <f>D203</f>
        <v>بانک اقتصاد نوین</v>
      </c>
      <c r="E204" s="74" t="s">
        <v>190</v>
      </c>
      <c r="G204" s="20">
        <v>39600000</v>
      </c>
      <c r="H204" s="20">
        <f>H203+Table13[[#This Row],[مبلغ ورود]]-Table13[[#This Row],[مبلغ خروج]]</f>
        <v>444132114</v>
      </c>
    </row>
    <row r="205" spans="1:8" ht="42.75" customHeight="1">
      <c r="A205" s="1">
        <v>202</v>
      </c>
      <c r="B205" s="21" t="s">
        <v>189</v>
      </c>
      <c r="C205" s="1">
        <v>483807</v>
      </c>
      <c r="D205" s="19" t="str">
        <f t="shared" ref="D205:D221" si="4">D204</f>
        <v>بانک اقتصاد نوین</v>
      </c>
      <c r="E205" s="74" t="s">
        <v>188</v>
      </c>
      <c r="G205" s="20">
        <v>158356242</v>
      </c>
      <c r="H205" s="20">
        <f>H204+Table13[[#This Row],[مبلغ ورود]]-Table13[[#This Row],[مبلغ خروج]]</f>
        <v>285775872</v>
      </c>
    </row>
    <row r="206" spans="1:8" ht="42.75" customHeight="1">
      <c r="A206" s="1">
        <v>203</v>
      </c>
      <c r="B206" s="21"/>
      <c r="C206" s="1"/>
      <c r="D206" s="19" t="str">
        <f t="shared" si="4"/>
        <v>بانک اقتصاد نوین</v>
      </c>
      <c r="E206" s="74"/>
      <c r="F206" s="83">
        <v>2000000000</v>
      </c>
      <c r="H206" s="20">
        <f>H205+Table13[[#This Row],[مبلغ ورود]]-Table13[[#This Row],[مبلغ خروج]]</f>
        <v>2285775872</v>
      </c>
    </row>
    <row r="207" spans="1:8" ht="42.75" customHeight="1">
      <c r="A207" s="1">
        <v>204</v>
      </c>
      <c r="B207" s="21"/>
      <c r="C207" s="1"/>
      <c r="D207" s="19" t="str">
        <f t="shared" si="4"/>
        <v>بانک اقتصاد نوین</v>
      </c>
      <c r="E207" s="74"/>
      <c r="F207" s="83">
        <v>10000000000</v>
      </c>
      <c r="G207" s="65"/>
      <c r="H207" s="20">
        <f>H206+Table13[[#This Row],[مبلغ ورود]]-Table13[[#This Row],[مبلغ خروج]]</f>
        <v>12285775872</v>
      </c>
    </row>
    <row r="208" spans="1:8" ht="42.75" customHeight="1">
      <c r="A208" s="1">
        <v>205</v>
      </c>
      <c r="B208" s="21" t="s">
        <v>192</v>
      </c>
      <c r="C208" s="1">
        <v>483808</v>
      </c>
      <c r="D208" s="19" t="str">
        <f t="shared" si="4"/>
        <v>بانک اقتصاد نوین</v>
      </c>
      <c r="E208" s="74" t="s">
        <v>191</v>
      </c>
      <c r="G208" s="20">
        <v>130660138</v>
      </c>
      <c r="H208" s="20">
        <f>H207+Table13[[#This Row],[مبلغ ورود]]-Table13[[#This Row],[مبلغ خروج]]</f>
        <v>12155115734</v>
      </c>
    </row>
    <row r="209" spans="1:8" ht="42.75" customHeight="1">
      <c r="A209" s="1">
        <v>206</v>
      </c>
      <c r="B209" s="21" t="s">
        <v>192</v>
      </c>
      <c r="C209" s="1">
        <v>483809</v>
      </c>
      <c r="D209" s="19" t="str">
        <f t="shared" si="4"/>
        <v>بانک اقتصاد نوین</v>
      </c>
      <c r="E209" s="74" t="s">
        <v>194</v>
      </c>
      <c r="G209" s="20">
        <v>4700183557</v>
      </c>
      <c r="H209" s="20">
        <f>H208+Table13[[#This Row],[مبلغ ورود]]-Table13[[#This Row],[مبلغ خروج]]</f>
        <v>7454932177</v>
      </c>
    </row>
    <row r="210" spans="1:8" ht="42.75" customHeight="1">
      <c r="A210" s="1">
        <v>207</v>
      </c>
      <c r="B210" s="21" t="s">
        <v>192</v>
      </c>
      <c r="C210" s="1">
        <v>483810</v>
      </c>
      <c r="D210" s="19" t="str">
        <f t="shared" si="4"/>
        <v>بانک اقتصاد نوین</v>
      </c>
      <c r="E210" s="74" t="s">
        <v>195</v>
      </c>
      <c r="G210" s="20">
        <v>4105229450</v>
      </c>
      <c r="H210" s="20">
        <f>H209+Table13[[#This Row],[مبلغ ورود]]-Table13[[#This Row],[مبلغ خروج]]</f>
        <v>3349702727</v>
      </c>
    </row>
    <row r="211" spans="1:8" ht="42.75" customHeight="1">
      <c r="A211" s="1">
        <v>208</v>
      </c>
      <c r="B211" s="21"/>
      <c r="C211" s="1"/>
      <c r="D211" s="64"/>
      <c r="E211" s="74" t="s">
        <v>198</v>
      </c>
      <c r="F211" s="73">
        <v>4700183557</v>
      </c>
      <c r="H211" s="20">
        <f>H210+Table13[[#This Row],[مبلغ ورود]]-Table13[[#This Row],[مبلغ خروج]]</f>
        <v>8049886284</v>
      </c>
    </row>
    <row r="212" spans="1:8" ht="42.75" customHeight="1">
      <c r="A212" s="1">
        <v>209</v>
      </c>
      <c r="B212" s="21" t="s">
        <v>199</v>
      </c>
      <c r="C212" s="1">
        <v>483811</v>
      </c>
      <c r="D212" s="19" t="str">
        <f>D210</f>
        <v>بانک اقتصاد نوین</v>
      </c>
      <c r="E212" s="74" t="s">
        <v>196</v>
      </c>
      <c r="G212" s="20">
        <v>200000000</v>
      </c>
      <c r="H212" s="20">
        <f>H211+Table13[[#This Row],[مبلغ ورود]]-Table13[[#This Row],[مبلغ خروج]]</f>
        <v>7849886284</v>
      </c>
    </row>
    <row r="213" spans="1:8" ht="42.75" customHeight="1">
      <c r="A213" s="1">
        <v>210</v>
      </c>
      <c r="B213" s="21" t="s">
        <v>199</v>
      </c>
      <c r="C213" s="1">
        <v>483812</v>
      </c>
      <c r="D213" s="19" t="str">
        <f t="shared" si="4"/>
        <v>بانک اقتصاد نوین</v>
      </c>
      <c r="E213" s="74" t="s">
        <v>197</v>
      </c>
      <c r="G213" s="20">
        <v>85000000</v>
      </c>
      <c r="H213" s="20">
        <f>H212+Table13[[#This Row],[مبلغ ورود]]-Table13[[#This Row],[مبلغ خروج]]</f>
        <v>7764886284</v>
      </c>
    </row>
    <row r="214" spans="1:8" ht="42.75" customHeight="1">
      <c r="A214" s="1">
        <v>211</v>
      </c>
      <c r="B214" s="21" t="s">
        <v>199</v>
      </c>
      <c r="C214" s="1">
        <v>483813</v>
      </c>
      <c r="D214" s="19" t="str">
        <f t="shared" si="4"/>
        <v>بانک اقتصاد نوین</v>
      </c>
      <c r="E214" s="74" t="s">
        <v>193</v>
      </c>
      <c r="G214" s="61">
        <v>558059876</v>
      </c>
      <c r="H214" s="20">
        <f>H213+Table13[[#This Row],[مبلغ ورود]]-Table13[[#This Row],[مبلغ خروج]]</f>
        <v>7206826408</v>
      </c>
    </row>
    <row r="215" spans="1:8" ht="42.75" customHeight="1">
      <c r="A215" s="1">
        <v>212</v>
      </c>
      <c r="B215" s="21" t="s">
        <v>200</v>
      </c>
      <c r="C215" s="1">
        <v>483815</v>
      </c>
      <c r="D215" s="19" t="str">
        <f t="shared" si="4"/>
        <v>بانک اقتصاد نوین</v>
      </c>
      <c r="E215" s="74" t="s">
        <v>193</v>
      </c>
      <c r="G215" s="20">
        <v>325672260</v>
      </c>
      <c r="H215" s="20">
        <v>4904085730</v>
      </c>
    </row>
    <row r="216" spans="1:8" ht="42.75" customHeight="1">
      <c r="A216" s="1">
        <v>213</v>
      </c>
      <c r="B216" s="21"/>
      <c r="C216" s="1"/>
      <c r="D216" s="19" t="str">
        <f t="shared" si="4"/>
        <v>بانک اقتصاد نوین</v>
      </c>
      <c r="E216" s="74" t="s">
        <v>202</v>
      </c>
      <c r="F216" s="73">
        <v>7000000000</v>
      </c>
      <c r="G216" s="65"/>
      <c r="H216" s="20">
        <f>H215+Table13[[#This Row],[مبلغ ورود]]-Table13[[#This Row],[مبلغ خروج]]</f>
        <v>11904085730</v>
      </c>
    </row>
    <row r="217" spans="1:8" ht="42.75" customHeight="1">
      <c r="A217" s="1">
        <v>214</v>
      </c>
      <c r="B217" s="21"/>
      <c r="C217" s="1"/>
      <c r="D217" s="19" t="str">
        <f t="shared" si="4"/>
        <v>بانک اقتصاد نوین</v>
      </c>
      <c r="E217" s="74" t="s">
        <v>203</v>
      </c>
      <c r="F217" s="73">
        <v>1750000000</v>
      </c>
      <c r="G217" s="65"/>
      <c r="H217" s="20">
        <f>H216+Table13[[#This Row],[مبلغ ورود]]-Table13[[#This Row],[مبلغ خروج]]</f>
        <v>13654085730</v>
      </c>
    </row>
    <row r="218" spans="1:8" ht="42.75" customHeight="1">
      <c r="A218" s="1">
        <v>215</v>
      </c>
      <c r="B218" s="21" t="s">
        <v>201</v>
      </c>
      <c r="C218" s="1">
        <v>483816</v>
      </c>
      <c r="D218" s="19" t="str">
        <f t="shared" si="4"/>
        <v>بانک اقتصاد نوین</v>
      </c>
      <c r="E218" s="74"/>
      <c r="G218" s="20">
        <v>195762616</v>
      </c>
      <c r="H218" s="20">
        <f>H217+Table13[[#This Row],[مبلغ ورود]]-Table13[[#This Row],[مبلغ خروج]]</f>
        <v>13458323114</v>
      </c>
    </row>
    <row r="219" spans="1:8" ht="42.75" customHeight="1">
      <c r="A219" s="1">
        <v>216</v>
      </c>
      <c r="B219" s="21" t="s">
        <v>201</v>
      </c>
      <c r="C219" s="1">
        <v>483817</v>
      </c>
      <c r="D219" s="19" t="str">
        <f t="shared" si="4"/>
        <v>بانک اقتصاد نوین</v>
      </c>
      <c r="E219" s="74"/>
      <c r="G219" s="20">
        <v>70904578</v>
      </c>
      <c r="H219" s="20">
        <f>H218+Table13[[#This Row],[مبلغ ورود]]-Table13[[#This Row],[مبلغ خروج]]</f>
        <v>13387418536</v>
      </c>
    </row>
    <row r="220" spans="1:8" ht="42.75" customHeight="1">
      <c r="A220" s="1">
        <v>217</v>
      </c>
      <c r="B220" s="21" t="s">
        <v>201</v>
      </c>
      <c r="C220" s="1">
        <v>483818</v>
      </c>
      <c r="D220" s="19" t="str">
        <f t="shared" si="4"/>
        <v>بانک اقتصاد نوین</v>
      </c>
      <c r="E220" s="74"/>
      <c r="G220" s="20">
        <v>14460358</v>
      </c>
      <c r="H220" s="20">
        <f>H219+Table13[[#This Row],[مبلغ ورود]]-Table13[[#This Row],[مبلغ خروج]]</f>
        <v>13372958178</v>
      </c>
    </row>
    <row r="221" spans="1:8" ht="42.75" customHeight="1">
      <c r="A221" s="1">
        <v>218</v>
      </c>
      <c r="B221" s="21" t="s">
        <v>201</v>
      </c>
      <c r="C221" s="1">
        <v>483819</v>
      </c>
      <c r="D221" s="19" t="str">
        <f t="shared" si="4"/>
        <v>بانک اقتصاد نوین</v>
      </c>
      <c r="E221" s="74"/>
      <c r="G221" s="20">
        <v>4978180</v>
      </c>
      <c r="H221" s="20">
        <f>H220+Table13[[#This Row],[مبلغ ورود]]-Table13[[#This Row],[مبلغ خروج]]</f>
        <v>13367979998</v>
      </c>
    </row>
    <row r="222" spans="1:8" ht="42.75" customHeight="1">
      <c r="A222" s="1">
        <v>219</v>
      </c>
      <c r="B222" s="21"/>
      <c r="C222" s="1"/>
      <c r="D222" s="64"/>
      <c r="E222" s="74"/>
      <c r="F222" s="73">
        <f>2500000000+2000000000</f>
        <v>4500000000</v>
      </c>
      <c r="G222" s="65"/>
      <c r="H222" s="20">
        <f>H221+Table13[[#This Row],[مبلغ ورود]]-Table13[[#This Row],[مبلغ خروج]]</f>
        <v>17867979998</v>
      </c>
    </row>
    <row r="223" spans="1:8" ht="42.75" customHeight="1">
      <c r="A223" s="1">
        <v>220</v>
      </c>
      <c r="B223" s="21" t="s">
        <v>206</v>
      </c>
      <c r="C223" s="1">
        <v>483820</v>
      </c>
      <c r="D223" s="19" t="str">
        <f>D221</f>
        <v>بانک اقتصاد نوین</v>
      </c>
      <c r="E223" s="74" t="s">
        <v>204</v>
      </c>
      <c r="G223" s="20">
        <f>300000000*44.2</f>
        <v>13260000000</v>
      </c>
      <c r="H223" s="20">
        <f>H222+Table13[[#This Row],[مبلغ ورود]]-Table13[[#This Row],[مبلغ خروج]]</f>
        <v>4607979998</v>
      </c>
    </row>
    <row r="224" spans="1:8" ht="42.75" customHeight="1">
      <c r="A224" s="1">
        <v>221</v>
      </c>
      <c r="B224" s="21" t="s">
        <v>206</v>
      </c>
      <c r="C224" s="1">
        <v>483821</v>
      </c>
      <c r="D224" s="19" t="str">
        <f>D223</f>
        <v>بانک اقتصاد نوین</v>
      </c>
      <c r="E224" s="74" t="s">
        <v>207</v>
      </c>
      <c r="G224" s="20">
        <v>501434880</v>
      </c>
      <c r="H224" s="20">
        <f>H223+Table13[[#This Row],[مبلغ ورود]]-Table13[[#This Row],[مبلغ خروج]]</f>
        <v>4106545118</v>
      </c>
    </row>
    <row r="225" spans="1:8" ht="42.75" customHeight="1">
      <c r="A225" s="1">
        <v>222</v>
      </c>
      <c r="B225" s="21" t="s">
        <v>206</v>
      </c>
      <c r="C225" s="1">
        <v>483822</v>
      </c>
      <c r="D225" s="19" t="str">
        <f>D223</f>
        <v>بانک اقتصاد نوین</v>
      </c>
      <c r="E225" s="74" t="s">
        <v>210</v>
      </c>
      <c r="H225" s="20">
        <f>H224+Table13[[#This Row],[مبلغ ورود]]-Table13[[#This Row],[مبلغ خروج]]</f>
        <v>4106545118</v>
      </c>
    </row>
    <row r="226" spans="1:8" ht="42.75" customHeight="1">
      <c r="A226" s="1">
        <v>223</v>
      </c>
      <c r="B226" s="21" t="s">
        <v>209</v>
      </c>
      <c r="C226" s="1">
        <v>483823</v>
      </c>
      <c r="D226" s="19" t="str">
        <f>D225</f>
        <v>بانک اقتصاد نوین</v>
      </c>
      <c r="E226" s="74" t="s">
        <v>208</v>
      </c>
      <c r="G226" s="65">
        <v>32700000</v>
      </c>
      <c r="H226" s="20">
        <f>H225+Table13[[#This Row],[مبلغ ورود]]-Table13[[#This Row],[مبلغ خروج]]</f>
        <v>4073845118</v>
      </c>
    </row>
    <row r="227" spans="1:8" ht="42.75" customHeight="1">
      <c r="A227" s="1">
        <v>224</v>
      </c>
      <c r="B227" s="21" t="s">
        <v>209</v>
      </c>
      <c r="C227" s="1">
        <v>483824</v>
      </c>
      <c r="D227" s="19" t="str">
        <f>D225</f>
        <v>بانک اقتصاد نوین</v>
      </c>
      <c r="E227" s="74" t="s">
        <v>205</v>
      </c>
      <c r="G227" s="20">
        <v>140000000</v>
      </c>
      <c r="H227" s="20">
        <f>H226+Table13[[#This Row],[مبلغ ورود]]-Table13[[#This Row],[مبلغ خروج]]</f>
        <v>3933845118</v>
      </c>
    </row>
    <row r="228" spans="1:8" ht="42.75" customHeight="1">
      <c r="A228" s="1">
        <v>225</v>
      </c>
      <c r="B228" s="21" t="s">
        <v>212</v>
      </c>
      <c r="C228" s="1">
        <v>483825</v>
      </c>
      <c r="D228" s="19" t="str">
        <f>D227</f>
        <v>بانک اقتصاد نوین</v>
      </c>
      <c r="E228" s="74" t="s">
        <v>211</v>
      </c>
      <c r="G228" s="20">
        <v>10000000</v>
      </c>
      <c r="H228" s="20">
        <f>H227+Table13[[#This Row],[مبلغ ورود]]-Table13[[#This Row],[مبلغ خروج]]</f>
        <v>3923845118</v>
      </c>
    </row>
    <row r="229" spans="1:8" ht="42.75" customHeight="1">
      <c r="A229" s="1">
        <v>226</v>
      </c>
      <c r="B229" s="21" t="s">
        <v>215</v>
      </c>
      <c r="C229" s="1">
        <v>483826</v>
      </c>
      <c r="D229" s="19" t="str">
        <f>D227</f>
        <v>بانک اقتصاد نوین</v>
      </c>
      <c r="E229" s="74" t="s">
        <v>213</v>
      </c>
      <c r="G229" s="65">
        <v>600000000</v>
      </c>
      <c r="H229" s="20">
        <f>H228+Table13[[#This Row],[مبلغ ورود]]-Table13[[#This Row],[مبلغ خروج]]</f>
        <v>3323845118</v>
      </c>
    </row>
    <row r="230" spans="1:8" ht="42.75" customHeight="1">
      <c r="A230" s="1">
        <v>227</v>
      </c>
      <c r="B230" s="21" t="s">
        <v>216</v>
      </c>
      <c r="C230" s="1">
        <v>483827</v>
      </c>
      <c r="D230" s="19" t="str">
        <f>D229</f>
        <v>بانک اقتصاد نوین</v>
      </c>
      <c r="E230" s="74" t="s">
        <v>214</v>
      </c>
      <c r="G230" s="20">
        <v>589104255</v>
      </c>
      <c r="H230" s="20">
        <f>H229+Table13[[#This Row],[مبلغ ورود]]-Table13[[#This Row],[مبلغ خروج]]</f>
        <v>2734740863</v>
      </c>
    </row>
    <row r="231" spans="1:8" ht="42.75" customHeight="1">
      <c r="A231" s="1">
        <v>228</v>
      </c>
      <c r="B231" s="21" t="s">
        <v>216</v>
      </c>
      <c r="C231" s="1">
        <v>483828</v>
      </c>
      <c r="D231" s="19" t="str">
        <f>D229</f>
        <v>بانک اقتصاد نوین</v>
      </c>
      <c r="E231" s="74" t="s">
        <v>217</v>
      </c>
      <c r="G231" s="20">
        <v>538957497</v>
      </c>
      <c r="H231" s="20">
        <f>H230+Table13[[#This Row],[مبلغ ورود]]-Table13[[#This Row],[مبلغ خروج]]</f>
        <v>2195783366</v>
      </c>
    </row>
    <row r="232" spans="1:8" ht="42.75" customHeight="1">
      <c r="A232" s="1">
        <v>229</v>
      </c>
      <c r="B232" s="21" t="s">
        <v>218</v>
      </c>
      <c r="C232" s="1">
        <v>483829</v>
      </c>
      <c r="D232" s="19" t="str">
        <f>D231</f>
        <v>بانک اقتصاد نوین</v>
      </c>
      <c r="E232" s="74" t="s">
        <v>221</v>
      </c>
      <c r="G232" s="20">
        <v>100469972</v>
      </c>
      <c r="H232" s="20">
        <f>H231+Table13[[#This Row],[مبلغ ورود]]-Table13[[#This Row],[مبلغ خروج]]</f>
        <v>2095313394</v>
      </c>
    </row>
    <row r="233" spans="1:8" ht="42.75" customHeight="1">
      <c r="A233" s="1">
        <v>230</v>
      </c>
      <c r="B233" s="21" t="s">
        <v>218</v>
      </c>
      <c r="C233" s="1">
        <v>483830</v>
      </c>
      <c r="D233" s="19" t="str">
        <f>D231</f>
        <v>بانک اقتصاد نوین</v>
      </c>
      <c r="E233" s="74" t="s">
        <v>219</v>
      </c>
      <c r="G233" s="20">
        <v>13932900</v>
      </c>
      <c r="H233" s="20">
        <f>H232+Table13[[#This Row],[مبلغ ورود]]-Table13[[#This Row],[مبلغ خروج]]</f>
        <v>2081380494</v>
      </c>
    </row>
    <row r="234" spans="1:8" ht="42.75" customHeight="1">
      <c r="A234" s="1">
        <v>231</v>
      </c>
      <c r="B234" s="21" t="s">
        <v>218</v>
      </c>
      <c r="C234" s="1">
        <v>483831</v>
      </c>
      <c r="D234" s="19" t="str">
        <f>D233</f>
        <v>بانک اقتصاد نوین</v>
      </c>
      <c r="E234" s="74" t="s">
        <v>220</v>
      </c>
      <c r="G234" s="20">
        <v>190527367</v>
      </c>
      <c r="H234" s="20">
        <f>H233+Table13[[#This Row],[مبلغ ورود]]-Table13[[#This Row],[مبلغ خروج]]</f>
        <v>1890853127</v>
      </c>
    </row>
    <row r="235" spans="1:8" ht="42.75" customHeight="1">
      <c r="A235" s="1">
        <v>232</v>
      </c>
      <c r="B235" s="21" t="s">
        <v>222</v>
      </c>
      <c r="C235" s="1">
        <v>483832</v>
      </c>
      <c r="D235" s="19" t="str">
        <f>D234</f>
        <v>بانک اقتصاد نوین</v>
      </c>
      <c r="E235" s="74" t="s">
        <v>224</v>
      </c>
      <c r="G235" s="20">
        <v>40400000</v>
      </c>
      <c r="H235" s="20">
        <f>H234+Table13[[#This Row],[مبلغ ورود]]-Table13[[#This Row],[مبلغ خروج]]</f>
        <v>1850453127</v>
      </c>
    </row>
    <row r="236" spans="1:8" ht="42.75" customHeight="1">
      <c r="A236" s="1">
        <v>233</v>
      </c>
      <c r="B236" s="21" t="s">
        <v>225</v>
      </c>
      <c r="C236" s="1">
        <v>483833</v>
      </c>
      <c r="D236" s="19" t="str">
        <f t="shared" ref="D236:D288" si="5">D234</f>
        <v>بانک اقتصاد نوین</v>
      </c>
      <c r="E236" s="74" t="s">
        <v>223</v>
      </c>
      <c r="G236" s="20">
        <v>40000000</v>
      </c>
      <c r="H236" s="20">
        <f>H235+Table13[[#This Row],[مبلغ ورود]]-Table13[[#This Row],[مبلغ خروج]]</f>
        <v>1810453127</v>
      </c>
    </row>
    <row r="237" spans="1:8" ht="42.75" customHeight="1">
      <c r="A237" s="1">
        <v>234</v>
      </c>
      <c r="B237" s="21" t="s">
        <v>228</v>
      </c>
      <c r="C237" s="1">
        <v>483834</v>
      </c>
      <c r="D237" s="19" t="str">
        <f t="shared" si="5"/>
        <v>بانک اقتصاد نوین</v>
      </c>
      <c r="E237" s="74" t="s">
        <v>226</v>
      </c>
      <c r="G237" s="20">
        <v>892221155</v>
      </c>
      <c r="H237" s="20">
        <f>H236+Table13[[#This Row],[مبلغ ورود]]-Table13[[#This Row],[مبلغ خروج]]</f>
        <v>918231972</v>
      </c>
    </row>
    <row r="238" spans="1:8" ht="42.75" customHeight="1">
      <c r="A238" s="1">
        <v>235</v>
      </c>
      <c r="B238" s="21" t="s">
        <v>228</v>
      </c>
      <c r="C238" s="1">
        <v>483835</v>
      </c>
      <c r="D238" s="19" t="str">
        <f t="shared" si="5"/>
        <v>بانک اقتصاد نوین</v>
      </c>
      <c r="E238" s="74" t="s">
        <v>227</v>
      </c>
      <c r="G238" s="20">
        <v>1020848062</v>
      </c>
      <c r="H238" s="20">
        <f>H237+Table13[[#This Row],[مبلغ ورود]]-Table13[[#This Row],[مبلغ خروج]]</f>
        <v>-102616090</v>
      </c>
    </row>
    <row r="239" spans="1:8" ht="42.75" customHeight="1">
      <c r="A239" s="1">
        <v>236</v>
      </c>
      <c r="B239" s="21" t="s">
        <v>230</v>
      </c>
      <c r="C239" s="1">
        <v>483836</v>
      </c>
      <c r="D239" s="19" t="str">
        <f t="shared" si="5"/>
        <v>بانک اقتصاد نوین</v>
      </c>
      <c r="E239" s="74" t="s">
        <v>229</v>
      </c>
      <c r="G239" s="20">
        <v>165000000</v>
      </c>
      <c r="H239" s="20">
        <f>H238+Table13[[#This Row],[مبلغ ورود]]-Table13[[#This Row],[مبلغ خروج]]</f>
        <v>-267616090</v>
      </c>
    </row>
    <row r="240" spans="1:8" ht="42.75" customHeight="1">
      <c r="A240" s="1">
        <v>237</v>
      </c>
      <c r="B240" s="21" t="s">
        <v>230</v>
      </c>
      <c r="C240" s="1">
        <v>483837</v>
      </c>
      <c r="D240" s="19" t="str">
        <f t="shared" si="5"/>
        <v>بانک اقتصاد نوین</v>
      </c>
      <c r="E240" s="74" t="s">
        <v>232</v>
      </c>
      <c r="G240" s="20">
        <v>5000000000</v>
      </c>
      <c r="H240" s="20">
        <f>H239+Table13[[#This Row],[مبلغ ورود]]-Table13[[#This Row],[مبلغ خروج]]</f>
        <v>-5267616090</v>
      </c>
    </row>
    <row r="241" spans="1:8" ht="42.75" customHeight="1">
      <c r="A241" s="1">
        <v>238</v>
      </c>
      <c r="B241" s="21" t="s">
        <v>231</v>
      </c>
      <c r="C241" s="1">
        <v>483838</v>
      </c>
      <c r="D241" s="19" t="str">
        <f t="shared" si="5"/>
        <v>بانک اقتصاد نوین</v>
      </c>
      <c r="E241" s="74" t="s">
        <v>233</v>
      </c>
      <c r="G241" s="20">
        <v>21050000</v>
      </c>
      <c r="H241" s="20">
        <f>H240+Table13[[#This Row],[مبلغ ورود]]-Table13[[#This Row],[مبلغ خروج]]</f>
        <v>-5288666090</v>
      </c>
    </row>
    <row r="242" spans="1:8" ht="42.75" customHeight="1">
      <c r="A242" s="1">
        <v>239</v>
      </c>
      <c r="B242" s="21" t="s">
        <v>231</v>
      </c>
      <c r="C242" s="1">
        <v>483839</v>
      </c>
      <c r="D242" s="19" t="str">
        <f t="shared" si="5"/>
        <v>بانک اقتصاد نوین</v>
      </c>
      <c r="E242" s="74" t="s">
        <v>234</v>
      </c>
      <c r="G242" s="20">
        <v>100000000</v>
      </c>
      <c r="H242" s="20">
        <f>H241+Table13[[#This Row],[مبلغ ورود]]-Table13[[#This Row],[مبلغ خروج]]</f>
        <v>-5388666090</v>
      </c>
    </row>
    <row r="243" spans="1:8" ht="42.75" customHeight="1">
      <c r="A243" s="1">
        <v>240</v>
      </c>
      <c r="B243" s="21" t="s">
        <v>231</v>
      </c>
      <c r="C243" s="1">
        <v>483840</v>
      </c>
      <c r="D243" s="19" t="str">
        <f t="shared" si="5"/>
        <v>بانک اقتصاد نوین</v>
      </c>
      <c r="E243" s="74" t="s">
        <v>235</v>
      </c>
      <c r="G243" s="20">
        <v>6200000000</v>
      </c>
      <c r="H243" s="20">
        <f>H242+Table13[[#This Row],[مبلغ ورود]]-Table13[[#This Row],[مبلغ خروج]]</f>
        <v>-11588666090</v>
      </c>
    </row>
    <row r="244" spans="1:8" ht="42.75" customHeight="1">
      <c r="A244" s="1">
        <v>241</v>
      </c>
      <c r="B244" s="21" t="s">
        <v>251</v>
      </c>
      <c r="C244" s="1">
        <v>483842</v>
      </c>
      <c r="D244" s="19" t="str">
        <f>D243</f>
        <v>بانک اقتصاد نوین</v>
      </c>
      <c r="E244" s="74" t="s">
        <v>252</v>
      </c>
      <c r="G244" s="20">
        <v>8683000</v>
      </c>
      <c r="H244" s="20">
        <f>H243+Table13[[#This Row],[مبلغ ورود]]-Table13[[#This Row],[مبلغ خروج]]</f>
        <v>-11597349090</v>
      </c>
    </row>
    <row r="245" spans="1:8" ht="42.75" customHeight="1">
      <c r="A245" s="1">
        <v>242</v>
      </c>
      <c r="B245" s="21" t="s">
        <v>237</v>
      </c>
      <c r="C245" s="1">
        <v>483845</v>
      </c>
      <c r="D245" s="19" t="str">
        <f>D242</f>
        <v>بانک اقتصاد نوین</v>
      </c>
      <c r="E245" s="74" t="s">
        <v>236</v>
      </c>
      <c r="G245" s="20">
        <v>200000000</v>
      </c>
      <c r="H245" s="20">
        <f>H244+Table13[[#This Row],[مبلغ ورود]]-Table13[[#This Row],[مبلغ خروج]]</f>
        <v>-11797349090</v>
      </c>
    </row>
    <row r="246" spans="1:8" ht="42.75" customHeight="1">
      <c r="A246" s="1">
        <v>243</v>
      </c>
      <c r="B246" s="21" t="s">
        <v>238</v>
      </c>
      <c r="C246" s="1">
        <v>483846</v>
      </c>
      <c r="D246" s="19" t="str">
        <f>D243</f>
        <v>بانک اقتصاد نوین</v>
      </c>
      <c r="E246" s="74" t="s">
        <v>239</v>
      </c>
      <c r="G246" s="25">
        <v>921135721</v>
      </c>
      <c r="H246" s="20">
        <f>H245+Table13[[#This Row],[مبلغ ورود]]-Table13[[#This Row],[مبلغ خروج]]</f>
        <v>-12718484811</v>
      </c>
    </row>
    <row r="247" spans="1:8" ht="42.75" customHeight="1">
      <c r="A247" s="1">
        <v>244</v>
      </c>
      <c r="B247" s="21" t="s">
        <v>238</v>
      </c>
      <c r="C247" s="1">
        <v>483847</v>
      </c>
      <c r="D247" s="19" t="str">
        <f t="shared" si="5"/>
        <v>بانک اقتصاد نوین</v>
      </c>
      <c r="E247" s="74" t="s">
        <v>240</v>
      </c>
      <c r="G247" s="20">
        <v>1215298502</v>
      </c>
      <c r="H247" s="20">
        <f>H246+Table13[[#This Row],[مبلغ ورود]]-Table13[[#This Row],[مبلغ خروج]]</f>
        <v>-13933783313</v>
      </c>
    </row>
    <row r="248" spans="1:8" ht="42.75" customHeight="1">
      <c r="A248" s="1">
        <v>245</v>
      </c>
      <c r="B248" s="21" t="s">
        <v>238</v>
      </c>
      <c r="C248" s="1">
        <v>483848</v>
      </c>
      <c r="D248" s="19" t="str">
        <f>D247</f>
        <v>بانک اقتصاد نوین</v>
      </c>
      <c r="E248" s="74" t="s">
        <v>241</v>
      </c>
      <c r="G248" s="20">
        <v>18950000</v>
      </c>
      <c r="H248" s="20">
        <f>H247+Table13[[#This Row],[مبلغ ورود]]-Table13[[#This Row],[مبلغ خروج]]</f>
        <v>-13952733313</v>
      </c>
    </row>
    <row r="249" spans="1:8" ht="42.75" customHeight="1">
      <c r="A249" s="1">
        <v>246</v>
      </c>
      <c r="B249" s="21" t="s">
        <v>242</v>
      </c>
      <c r="C249" s="1">
        <v>483849</v>
      </c>
      <c r="D249" s="19" t="str">
        <f t="shared" si="5"/>
        <v>بانک اقتصاد نوین</v>
      </c>
      <c r="E249" s="74" t="s">
        <v>243</v>
      </c>
      <c r="G249" s="20">
        <v>865720639</v>
      </c>
      <c r="H249" s="20">
        <f>H248+Table13[[#This Row],[مبلغ ورود]]-Table13[[#This Row],[مبلغ خروج]]</f>
        <v>-14818453952</v>
      </c>
    </row>
    <row r="250" spans="1:8" ht="42.75" customHeight="1">
      <c r="A250" s="1">
        <v>247</v>
      </c>
      <c r="B250" s="21" t="s">
        <v>242</v>
      </c>
      <c r="C250" s="1">
        <v>483850</v>
      </c>
      <c r="D250" s="19" t="str">
        <f t="shared" si="5"/>
        <v>بانک اقتصاد نوین</v>
      </c>
      <c r="E250" s="74" t="s">
        <v>244</v>
      </c>
      <c r="G250" s="20">
        <v>1346628115</v>
      </c>
      <c r="H250" s="20">
        <f>H249+Table13[[#This Row],[مبلغ ورود]]-Table13[[#This Row],[مبلغ خروج]]</f>
        <v>-16165082067</v>
      </c>
    </row>
    <row r="251" spans="1:8" ht="42.75" customHeight="1">
      <c r="A251" s="1">
        <v>248</v>
      </c>
      <c r="B251" s="21" t="s">
        <v>242</v>
      </c>
      <c r="C251" s="1">
        <v>128051</v>
      </c>
      <c r="D251" s="19" t="str">
        <f t="shared" si="5"/>
        <v>بانک اقتصاد نوین</v>
      </c>
      <c r="E251" s="74" t="s">
        <v>211</v>
      </c>
      <c r="G251" s="20">
        <v>20000000</v>
      </c>
      <c r="H251" s="20">
        <f>H250+Table13[[#This Row],[مبلغ ورود]]-Table13[[#This Row],[مبلغ خروج]]</f>
        <v>-16185082067</v>
      </c>
    </row>
    <row r="252" spans="1:8" ht="42.75" customHeight="1">
      <c r="A252" s="1">
        <v>249</v>
      </c>
      <c r="B252" s="21" t="s">
        <v>245</v>
      </c>
      <c r="C252" s="1"/>
      <c r="D252" s="19" t="str">
        <f t="shared" si="5"/>
        <v>بانک اقتصاد نوین</v>
      </c>
      <c r="E252" s="74" t="s">
        <v>246</v>
      </c>
      <c r="H252" s="20">
        <f>H251+Table13[[#This Row],[مبلغ ورود]]-Table13[[#This Row],[مبلغ خروج]]</f>
        <v>-16185082067</v>
      </c>
    </row>
    <row r="253" spans="1:8" ht="42.75" customHeight="1">
      <c r="A253" s="1">
        <v>250</v>
      </c>
      <c r="B253" s="21" t="s">
        <v>245</v>
      </c>
      <c r="C253" s="1"/>
      <c r="D253" s="19" t="str">
        <f t="shared" si="5"/>
        <v>بانک اقتصاد نوین</v>
      </c>
      <c r="E253" s="74" t="s">
        <v>247</v>
      </c>
      <c r="H253" s="20">
        <f>H252+Table13[[#This Row],[مبلغ ورود]]-Table13[[#This Row],[مبلغ خروج]]</f>
        <v>-16185082067</v>
      </c>
    </row>
    <row r="254" spans="1:8" ht="42.75" customHeight="1">
      <c r="A254" s="1">
        <v>251</v>
      </c>
      <c r="B254" s="21" t="s">
        <v>250</v>
      </c>
      <c r="C254" s="1">
        <v>128052</v>
      </c>
      <c r="D254" s="19" t="str">
        <f t="shared" si="5"/>
        <v>بانک اقتصاد نوین</v>
      </c>
      <c r="E254" s="74" t="s">
        <v>253</v>
      </c>
      <c r="G254" s="20">
        <f>G251</f>
        <v>20000000</v>
      </c>
      <c r="H254" s="20">
        <f>H253+Table13[[#This Row],[مبلغ ورود]]-Table13[[#This Row],[مبلغ خروج]]</f>
        <v>-16205082067</v>
      </c>
    </row>
    <row r="255" spans="1:8" ht="42.75" customHeight="1">
      <c r="A255" s="1">
        <v>252</v>
      </c>
      <c r="B255" s="21" t="s">
        <v>250</v>
      </c>
      <c r="C255" s="1">
        <v>128053</v>
      </c>
      <c r="D255" s="19" t="str">
        <f t="shared" si="5"/>
        <v>بانک اقتصاد نوین</v>
      </c>
      <c r="E255" s="74" t="s">
        <v>254</v>
      </c>
      <c r="G255" s="20">
        <v>95250940</v>
      </c>
      <c r="H255" s="20">
        <f>H254+Table13[[#This Row],[مبلغ ورود]]-Table13[[#This Row],[مبلغ خروج]]</f>
        <v>-16300333007</v>
      </c>
    </row>
    <row r="256" spans="1:8" ht="42.75" customHeight="1">
      <c r="A256" s="1">
        <v>253</v>
      </c>
      <c r="B256" s="21" t="s">
        <v>250</v>
      </c>
      <c r="C256" s="1">
        <v>128054</v>
      </c>
      <c r="D256" s="19" t="str">
        <f t="shared" si="5"/>
        <v>بانک اقتصاد نوین</v>
      </c>
      <c r="E256" s="74" t="s">
        <v>248</v>
      </c>
      <c r="G256" s="20">
        <v>42482430</v>
      </c>
      <c r="H256" s="20">
        <f>H255+Table13[[#This Row],[مبلغ ورود]]-Table13[[#This Row],[مبلغ خروج]]</f>
        <v>-16342815437</v>
      </c>
    </row>
    <row r="257" spans="1:8" ht="42.75" customHeight="1">
      <c r="A257" s="1">
        <v>254</v>
      </c>
      <c r="B257" s="21" t="s">
        <v>250</v>
      </c>
      <c r="C257" s="1">
        <v>128055</v>
      </c>
      <c r="D257" s="19" t="str">
        <f t="shared" si="5"/>
        <v>بانک اقتصاد نوین</v>
      </c>
      <c r="E257" s="74" t="s">
        <v>249</v>
      </c>
      <c r="G257" s="20">
        <v>27395338</v>
      </c>
      <c r="H257" s="20">
        <f>H256+Table13[[#This Row],[مبلغ ورود]]-Table13[[#This Row],[مبلغ خروج]]</f>
        <v>-16370210775</v>
      </c>
    </row>
    <row r="258" spans="1:8" ht="42.75" customHeight="1">
      <c r="A258" s="1">
        <v>255</v>
      </c>
      <c r="B258" s="21" t="s">
        <v>256</v>
      </c>
      <c r="C258" s="1">
        <v>128056</v>
      </c>
      <c r="D258" s="19" t="str">
        <f t="shared" si="5"/>
        <v>بانک اقتصاد نوین</v>
      </c>
      <c r="E258" s="74" t="s">
        <v>255</v>
      </c>
      <c r="G258" s="20">
        <v>23000000000</v>
      </c>
      <c r="H258" s="20">
        <f>H257+Table13[[#This Row],[مبلغ ورود]]-Table13[[#This Row],[مبلغ خروج]]</f>
        <v>-39370210775</v>
      </c>
    </row>
    <row r="259" spans="1:8" ht="42.75" customHeight="1">
      <c r="A259" s="1">
        <v>256</v>
      </c>
      <c r="B259" s="21" t="s">
        <v>258</v>
      </c>
      <c r="C259" s="1">
        <v>128057</v>
      </c>
      <c r="D259" s="19" t="str">
        <f t="shared" si="5"/>
        <v>بانک اقتصاد نوین</v>
      </c>
      <c r="E259" s="74" t="s">
        <v>257</v>
      </c>
      <c r="G259" s="20">
        <v>123900000</v>
      </c>
      <c r="H259" s="20">
        <f>H258+Table13[[#This Row],[مبلغ ورود]]-Table13[[#This Row],[مبلغ خروج]]</f>
        <v>-39494110775</v>
      </c>
    </row>
    <row r="260" spans="1:8" ht="42.75" customHeight="1">
      <c r="A260" s="1">
        <v>257</v>
      </c>
      <c r="B260" s="21" t="s">
        <v>258</v>
      </c>
      <c r="C260" s="1">
        <v>128058</v>
      </c>
      <c r="D260" s="19" t="str">
        <f t="shared" si="5"/>
        <v>بانک اقتصاد نوین</v>
      </c>
      <c r="E260" s="74" t="s">
        <v>259</v>
      </c>
      <c r="G260" s="20">
        <v>39150000</v>
      </c>
      <c r="H260" s="20">
        <f>H259+Table13[[#This Row],[مبلغ ورود]]-Table13[[#This Row],[مبلغ خروج]]</f>
        <v>-39533260775</v>
      </c>
    </row>
    <row r="261" spans="1:8" ht="42.75" customHeight="1">
      <c r="A261" s="1">
        <v>258</v>
      </c>
      <c r="B261" s="21" t="s">
        <v>261</v>
      </c>
      <c r="C261" s="1">
        <v>128059</v>
      </c>
      <c r="D261" s="19" t="str">
        <f t="shared" si="5"/>
        <v>بانک اقتصاد نوین</v>
      </c>
      <c r="E261" s="74" t="s">
        <v>260</v>
      </c>
      <c r="G261" s="20">
        <v>40000000</v>
      </c>
      <c r="H261" s="20">
        <f>H260+Table13[[#This Row],[مبلغ ورود]]-Table13[[#This Row],[مبلغ خروج]]</f>
        <v>-39573260775</v>
      </c>
    </row>
    <row r="262" spans="1:8" ht="42.75" customHeight="1">
      <c r="A262" s="1">
        <v>259</v>
      </c>
      <c r="B262" s="21" t="s">
        <v>262</v>
      </c>
      <c r="C262" s="1">
        <v>128060</v>
      </c>
      <c r="D262" s="19" t="str">
        <f t="shared" si="5"/>
        <v>بانک اقتصاد نوین</v>
      </c>
      <c r="E262" s="74" t="s">
        <v>263</v>
      </c>
      <c r="G262" s="20">
        <v>600900000</v>
      </c>
      <c r="H262" s="20">
        <f>H261+Table13[[#This Row],[مبلغ ورود]]-Table13[[#This Row],[مبلغ خروج]]</f>
        <v>-40174160775</v>
      </c>
    </row>
    <row r="263" spans="1:8" ht="42.75" customHeight="1">
      <c r="A263" s="1">
        <v>260</v>
      </c>
      <c r="B263" s="21" t="s">
        <v>265</v>
      </c>
      <c r="C263" s="1">
        <v>128061</v>
      </c>
      <c r="D263" s="19" t="str">
        <f>D262</f>
        <v>بانک اقتصاد نوین</v>
      </c>
      <c r="E263" s="74" t="s">
        <v>243</v>
      </c>
      <c r="G263" s="20">
        <v>884314629</v>
      </c>
      <c r="H263" s="20">
        <f>H262+Table13[[#This Row],[مبلغ ورود]]-Table13[[#This Row],[مبلغ خروج]]</f>
        <v>-41058475404</v>
      </c>
    </row>
    <row r="264" spans="1:8" ht="42.75" customHeight="1">
      <c r="A264" s="1">
        <v>261</v>
      </c>
      <c r="B264" s="21" t="s">
        <v>265</v>
      </c>
      <c r="C264" s="1">
        <v>128062</v>
      </c>
      <c r="D264" s="19" t="str">
        <f t="shared" si="5"/>
        <v>بانک اقتصاد نوین</v>
      </c>
      <c r="E264" s="74" t="s">
        <v>244</v>
      </c>
      <c r="G264" s="20">
        <v>1140377331</v>
      </c>
      <c r="H264" s="20">
        <f>H263+Table13[[#This Row],[مبلغ ورود]]-Table13[[#This Row],[مبلغ خروج]]</f>
        <v>-42198852735</v>
      </c>
    </row>
    <row r="265" spans="1:8" ht="42.75" customHeight="1">
      <c r="A265" s="1">
        <v>262</v>
      </c>
      <c r="B265" s="21" t="s">
        <v>267</v>
      </c>
      <c r="C265" s="1">
        <v>128063</v>
      </c>
      <c r="D265" s="19" t="str">
        <f>D264</f>
        <v>بانک اقتصاد نوین</v>
      </c>
      <c r="E265" s="74" t="s">
        <v>264</v>
      </c>
      <c r="G265" s="20">
        <f>11900000+7200000</f>
        <v>19100000</v>
      </c>
      <c r="H265" s="20">
        <f>H264+Table13[[#This Row],[مبلغ ورود]]-Table13[[#This Row],[مبلغ خروج]]</f>
        <v>-42217952735</v>
      </c>
    </row>
    <row r="266" spans="1:8" ht="42.75" customHeight="1">
      <c r="A266" s="1">
        <v>263</v>
      </c>
      <c r="B266" s="21" t="s">
        <v>267</v>
      </c>
      <c r="C266" s="1">
        <v>128064</v>
      </c>
      <c r="D266" s="19" t="str">
        <f t="shared" si="5"/>
        <v>بانک اقتصاد نوین</v>
      </c>
      <c r="E266" s="74" t="s">
        <v>268</v>
      </c>
      <c r="G266" s="20">
        <v>168100000</v>
      </c>
      <c r="H266" s="20">
        <f>H265+Table13[[#This Row],[مبلغ ورود]]-Table13[[#This Row],[مبلغ خروج]]</f>
        <v>-42386052735</v>
      </c>
    </row>
    <row r="267" spans="1:8" ht="42.75" customHeight="1">
      <c r="A267" s="1">
        <v>264</v>
      </c>
      <c r="B267" s="21" t="s">
        <v>267</v>
      </c>
      <c r="C267" s="1">
        <v>128066</v>
      </c>
      <c r="D267" s="19" t="str">
        <f>D266</f>
        <v>بانک اقتصاد نوین</v>
      </c>
      <c r="E267" s="74" t="s">
        <v>266</v>
      </c>
      <c r="G267" s="20">
        <v>12656250</v>
      </c>
      <c r="H267" s="20">
        <f>H266+Table13[[#This Row],[مبلغ ورود]]-Table13[[#This Row],[مبلغ خروج]]</f>
        <v>-42398708985</v>
      </c>
    </row>
    <row r="268" spans="1:8" ht="42.75" customHeight="1">
      <c r="A268" s="1">
        <v>265</v>
      </c>
      <c r="B268" s="21" t="s">
        <v>271</v>
      </c>
      <c r="C268" s="1">
        <v>128068</v>
      </c>
      <c r="D268" s="19" t="str">
        <f t="shared" si="5"/>
        <v>بانک اقتصاد نوین</v>
      </c>
      <c r="E268" s="74" t="s">
        <v>272</v>
      </c>
      <c r="G268" s="20">
        <v>38110000</v>
      </c>
      <c r="H268" s="20">
        <f>H267+Table13[[#This Row],[مبلغ ورود]]-Table13[[#This Row],[مبلغ خروج]]</f>
        <v>-42436818985</v>
      </c>
    </row>
    <row r="269" spans="1:8" ht="42.75" customHeight="1">
      <c r="A269" s="1">
        <v>266</v>
      </c>
      <c r="B269" s="21" t="s">
        <v>271</v>
      </c>
      <c r="C269" s="1">
        <v>128069</v>
      </c>
      <c r="D269" s="19" t="str">
        <f>D268</f>
        <v>بانک اقتصاد نوین</v>
      </c>
      <c r="E269" s="74" t="s">
        <v>269</v>
      </c>
      <c r="G269" s="20">
        <v>17670000</v>
      </c>
      <c r="H269" s="20">
        <f>H268+Table13[[#This Row],[مبلغ ورود]]-Table13[[#This Row],[مبلغ خروج]]</f>
        <v>-42454488985</v>
      </c>
    </row>
    <row r="270" spans="1:8" ht="42.75" customHeight="1">
      <c r="A270" s="1">
        <v>267</v>
      </c>
      <c r="B270" s="21" t="s">
        <v>271</v>
      </c>
      <c r="C270" s="1">
        <v>128070</v>
      </c>
      <c r="D270" s="19" t="str">
        <f t="shared" si="5"/>
        <v>بانک اقتصاد نوین</v>
      </c>
      <c r="E270" s="74" t="s">
        <v>270</v>
      </c>
      <c r="G270" s="20">
        <v>73938728</v>
      </c>
      <c r="H270" s="20">
        <f>H269+Table13[[#This Row],[مبلغ ورود]]-Table13[[#This Row],[مبلغ خروج]]</f>
        <v>-42528427713</v>
      </c>
    </row>
    <row r="271" spans="1:8" ht="42.75" customHeight="1">
      <c r="A271" s="1">
        <v>268</v>
      </c>
      <c r="B271" s="21" t="s">
        <v>274</v>
      </c>
      <c r="C271" s="1">
        <v>128071</v>
      </c>
      <c r="D271" s="19" t="str">
        <f t="shared" si="5"/>
        <v>بانک اقتصاد نوین</v>
      </c>
      <c r="E271" s="74" t="s">
        <v>273</v>
      </c>
      <c r="G271" s="20">
        <f>95215000+62740000</f>
        <v>157955000</v>
      </c>
      <c r="H271" s="20">
        <f>H270+Table13[[#This Row],[مبلغ ورود]]-Table13[[#This Row],[مبلغ خروج]]</f>
        <v>-42686382713</v>
      </c>
    </row>
    <row r="272" spans="1:8" ht="42.75" customHeight="1">
      <c r="A272" s="1">
        <v>269</v>
      </c>
      <c r="B272" s="21" t="s">
        <v>274</v>
      </c>
      <c r="C272" s="1">
        <v>128072</v>
      </c>
      <c r="D272" s="19" t="str">
        <f>D271</f>
        <v>بانک اقتصاد نوین</v>
      </c>
      <c r="E272" s="74" t="s">
        <v>257</v>
      </c>
      <c r="G272" s="20">
        <v>35500000</v>
      </c>
      <c r="H272" s="20">
        <f>H271+Table13[[#This Row],[مبلغ ورود]]-Table13[[#This Row],[مبلغ خروج]]</f>
        <v>-42721882713</v>
      </c>
    </row>
    <row r="273" spans="1:8" ht="42.75" customHeight="1">
      <c r="A273" s="1">
        <v>270</v>
      </c>
      <c r="B273" s="21" t="s">
        <v>276</v>
      </c>
      <c r="C273" s="1">
        <v>128076</v>
      </c>
      <c r="D273" s="19" t="str">
        <f t="shared" si="5"/>
        <v>بانک اقتصاد نوین</v>
      </c>
      <c r="E273" s="74" t="s">
        <v>277</v>
      </c>
      <c r="G273" s="20">
        <v>891700530</v>
      </c>
    </row>
    <row r="274" spans="1:8" ht="42.75" customHeight="1">
      <c r="A274" s="1">
        <v>271</v>
      </c>
      <c r="B274" s="21" t="s">
        <v>276</v>
      </c>
      <c r="C274" s="1">
        <v>128077</v>
      </c>
      <c r="D274" s="19" t="str">
        <f>D273</f>
        <v>بانک اقتصاد نوین</v>
      </c>
      <c r="E274" s="74" t="s">
        <v>278</v>
      </c>
      <c r="G274" s="20">
        <v>720848020</v>
      </c>
    </row>
    <row r="275" spans="1:8" ht="42.75" customHeight="1">
      <c r="A275" s="1">
        <v>272</v>
      </c>
      <c r="B275" s="21" t="s">
        <v>276</v>
      </c>
      <c r="C275" s="1">
        <v>128078</v>
      </c>
      <c r="D275" s="19" t="str">
        <f t="shared" si="5"/>
        <v>بانک اقتصاد نوین</v>
      </c>
      <c r="E275" s="74" t="s">
        <v>275</v>
      </c>
      <c r="G275" s="20">
        <v>500000000</v>
      </c>
    </row>
    <row r="276" spans="1:8" ht="42.75" customHeight="1">
      <c r="A276" s="1">
        <v>273</v>
      </c>
      <c r="B276" s="21" t="s">
        <v>280</v>
      </c>
      <c r="C276" s="1">
        <v>128079</v>
      </c>
      <c r="D276" s="19" t="str">
        <f t="shared" si="5"/>
        <v>بانک اقتصاد نوین</v>
      </c>
      <c r="E276" s="74" t="s">
        <v>281</v>
      </c>
      <c r="G276" s="20">
        <v>42020072</v>
      </c>
      <c r="H276" s="20" t="e">
        <v>#REF!</v>
      </c>
    </row>
    <row r="277" spans="1:8" ht="42.75" customHeight="1">
      <c r="A277" s="1">
        <v>274</v>
      </c>
      <c r="B277" s="21" t="s">
        <v>280</v>
      </c>
      <c r="C277" s="1">
        <v>128080</v>
      </c>
      <c r="D277" s="19" t="str">
        <f>D276</f>
        <v>بانک اقتصاد نوین</v>
      </c>
      <c r="E277" s="74" t="s">
        <v>282</v>
      </c>
      <c r="G277" s="20">
        <v>100000000</v>
      </c>
      <c r="H277" s="20" t="e">
        <v>#REF!</v>
      </c>
    </row>
    <row r="278" spans="1:8" ht="42.75" customHeight="1">
      <c r="A278" s="1">
        <v>275</v>
      </c>
      <c r="B278" s="21" t="s">
        <v>280</v>
      </c>
      <c r="C278" s="1">
        <v>128081</v>
      </c>
      <c r="D278" s="19" t="str">
        <f t="shared" si="5"/>
        <v>بانک اقتصاد نوین</v>
      </c>
      <c r="E278" s="74" t="s">
        <v>283</v>
      </c>
      <c r="G278" s="20">
        <v>67000000</v>
      </c>
      <c r="H278" s="20" t="e">
        <v>#REF!</v>
      </c>
    </row>
    <row r="279" spans="1:8" ht="42.75" customHeight="1">
      <c r="A279" s="1">
        <v>276</v>
      </c>
      <c r="B279" s="21" t="s">
        <v>284</v>
      </c>
      <c r="C279" s="1">
        <v>128084</v>
      </c>
      <c r="D279" s="19" t="str">
        <f t="shared" si="5"/>
        <v>بانک اقتصاد نوین</v>
      </c>
      <c r="E279" s="74" t="s">
        <v>285</v>
      </c>
      <c r="G279" s="20">
        <v>250000000</v>
      </c>
      <c r="H279" s="20" t="e">
        <v>#REF!</v>
      </c>
    </row>
    <row r="280" spans="1:8" ht="42.75" customHeight="1">
      <c r="A280" s="1">
        <v>277</v>
      </c>
      <c r="B280" s="21" t="s">
        <v>284</v>
      </c>
      <c r="C280" s="1">
        <v>128085</v>
      </c>
      <c r="D280" s="19" t="str">
        <f t="shared" si="5"/>
        <v>بانک اقتصاد نوین</v>
      </c>
      <c r="E280" s="74" t="s">
        <v>260</v>
      </c>
      <c r="G280" s="20">
        <v>50000000</v>
      </c>
      <c r="H280" s="20" t="e">
        <v>#REF!</v>
      </c>
    </row>
    <row r="281" spans="1:8" ht="42.75" customHeight="1">
      <c r="A281" s="1">
        <v>278</v>
      </c>
      <c r="B281" s="21" t="s">
        <v>286</v>
      </c>
      <c r="C281" s="1">
        <v>128086</v>
      </c>
      <c r="D281" s="19" t="str">
        <f t="shared" si="5"/>
        <v>بانک اقتصاد نوین</v>
      </c>
      <c r="E281" s="74" t="s">
        <v>260</v>
      </c>
      <c r="G281" s="20">
        <v>50000000</v>
      </c>
      <c r="H281" s="20" t="e">
        <v>#REF!</v>
      </c>
    </row>
    <row r="282" spans="1:8" ht="42.75" customHeight="1">
      <c r="A282" s="1">
        <v>279</v>
      </c>
      <c r="B282" s="21" t="s">
        <v>287</v>
      </c>
      <c r="C282" s="1">
        <v>128087</v>
      </c>
      <c r="D282" s="19" t="str">
        <f t="shared" si="5"/>
        <v>بانک اقتصاد نوین</v>
      </c>
      <c r="E282" s="74" t="s">
        <v>288</v>
      </c>
      <c r="G282" s="20">
        <v>1028830490</v>
      </c>
      <c r="H282" s="20" t="e">
        <v>#REF!</v>
      </c>
    </row>
    <row r="283" spans="1:8" ht="42.75" customHeight="1">
      <c r="A283" s="1">
        <v>280</v>
      </c>
      <c r="B283" s="21" t="s">
        <v>287</v>
      </c>
      <c r="C283" s="1">
        <v>128088</v>
      </c>
      <c r="D283" s="19" t="str">
        <f t="shared" si="5"/>
        <v>بانک اقتصاد نوین</v>
      </c>
      <c r="E283" s="74" t="s">
        <v>289</v>
      </c>
      <c r="G283" s="20">
        <v>495779202</v>
      </c>
      <c r="H283" s="20" t="e">
        <v>#REF!</v>
      </c>
    </row>
    <row r="284" spans="1:8" ht="42.75" customHeight="1">
      <c r="A284" s="1">
        <v>281</v>
      </c>
      <c r="B284" s="21" t="s">
        <v>287</v>
      </c>
      <c r="C284" s="1">
        <v>128089</v>
      </c>
      <c r="D284" s="19" t="str">
        <f t="shared" si="5"/>
        <v>بانک اقتصاد نوین</v>
      </c>
      <c r="E284" s="74" t="s">
        <v>290</v>
      </c>
      <c r="G284" s="20">
        <v>23980000</v>
      </c>
      <c r="H284" s="20" t="e">
        <v>#REF!</v>
      </c>
    </row>
    <row r="285" spans="1:8" ht="42.75" customHeight="1">
      <c r="A285" s="1">
        <v>282</v>
      </c>
      <c r="B285" s="21" t="s">
        <v>279</v>
      </c>
      <c r="C285" s="1">
        <v>128090</v>
      </c>
      <c r="D285" s="19" t="str">
        <f>D274</f>
        <v>بانک اقتصاد نوین</v>
      </c>
      <c r="E285" s="74" t="s">
        <v>260</v>
      </c>
      <c r="G285" s="20">
        <v>60000000</v>
      </c>
      <c r="H285" s="20" t="e">
        <v>#REF!</v>
      </c>
    </row>
    <row r="286" spans="1:8" ht="42.75" customHeight="1">
      <c r="A286" s="1">
        <v>283</v>
      </c>
      <c r="B286" s="21" t="s">
        <v>291</v>
      </c>
      <c r="C286" s="1">
        <v>128091</v>
      </c>
      <c r="D286" s="19" t="str">
        <f t="shared" si="5"/>
        <v>بانک اقتصاد نوین</v>
      </c>
      <c r="E286" s="74" t="s">
        <v>292</v>
      </c>
      <c r="G286" s="20">
        <v>39453300</v>
      </c>
      <c r="H286" s="20" t="e">
        <v>#REF!</v>
      </c>
    </row>
    <row r="287" spans="1:8" ht="42.75" customHeight="1">
      <c r="A287" s="1">
        <v>284</v>
      </c>
      <c r="B287" s="21" t="s">
        <v>291</v>
      </c>
      <c r="C287" s="1">
        <v>128092</v>
      </c>
      <c r="D287" s="19" t="str">
        <f>D276</f>
        <v>بانک اقتصاد نوین</v>
      </c>
      <c r="E287" s="74" t="s">
        <v>293</v>
      </c>
      <c r="G287" s="20">
        <v>6800000</v>
      </c>
      <c r="H287" s="20" t="e">
        <v>#REF!</v>
      </c>
    </row>
    <row r="288" spans="1:8" ht="42.75" customHeight="1">
      <c r="A288" s="1">
        <v>285</v>
      </c>
      <c r="B288" s="21" t="s">
        <v>294</v>
      </c>
      <c r="C288" s="1">
        <v>128093</v>
      </c>
      <c r="D288" s="19" t="str">
        <f t="shared" si="5"/>
        <v>بانک اقتصاد نوین</v>
      </c>
      <c r="E288" s="74" t="s">
        <v>260</v>
      </c>
      <c r="G288" s="20">
        <v>50000000</v>
      </c>
      <c r="H288" s="66"/>
    </row>
    <row r="289" spans="1:8" ht="42.75" customHeight="1">
      <c r="A289" s="1">
        <v>286</v>
      </c>
      <c r="B289" s="21" t="s">
        <v>294</v>
      </c>
      <c r="C289" s="1">
        <v>128094</v>
      </c>
      <c r="D289" s="19" t="str">
        <f>D278</f>
        <v>بانک اقتصاد نوین</v>
      </c>
      <c r="E289" s="74" t="s">
        <v>295</v>
      </c>
      <c r="G289" s="20">
        <v>300000000</v>
      </c>
      <c r="H289" s="66"/>
    </row>
    <row r="290" spans="1:8" ht="42.75" customHeight="1">
      <c r="A290" s="1">
        <v>287</v>
      </c>
      <c r="B290" s="21" t="s">
        <v>297</v>
      </c>
      <c r="C290" s="1">
        <v>128095</v>
      </c>
      <c r="D290" s="19" t="str">
        <f>D280</f>
        <v>بانک اقتصاد نوین</v>
      </c>
      <c r="E290" s="74" t="s">
        <v>296</v>
      </c>
      <c r="G290" s="20">
        <v>1000000000</v>
      </c>
      <c r="H290" s="66"/>
    </row>
    <row r="291" spans="1:8" ht="42.75" customHeight="1">
      <c r="A291" s="1">
        <v>288</v>
      </c>
      <c r="B291" s="21" t="s">
        <v>297</v>
      </c>
      <c r="C291" s="1">
        <v>128096</v>
      </c>
      <c r="D291" s="19" t="str">
        <f>D280</f>
        <v>بانک اقتصاد نوین</v>
      </c>
      <c r="E291" s="74" t="s">
        <v>260</v>
      </c>
      <c r="G291" s="20">
        <v>30000000</v>
      </c>
      <c r="H291" s="66"/>
    </row>
    <row r="292" spans="1:8" ht="42.75" customHeight="1">
      <c r="A292" s="1">
        <v>289</v>
      </c>
      <c r="B292" s="21" t="s">
        <v>298</v>
      </c>
      <c r="C292" s="1">
        <v>128097</v>
      </c>
      <c r="D292" s="19" t="str">
        <f>D282</f>
        <v>بانک اقتصاد نوین</v>
      </c>
      <c r="E292" s="74" t="s">
        <v>299</v>
      </c>
      <c r="G292" s="20">
        <v>1093689755</v>
      </c>
      <c r="H292" s="66"/>
    </row>
    <row r="293" spans="1:8" ht="42.75" customHeight="1">
      <c r="A293" s="1">
        <v>290</v>
      </c>
      <c r="B293" s="21" t="s">
        <v>298</v>
      </c>
      <c r="C293" s="1">
        <v>128098</v>
      </c>
      <c r="D293" s="19" t="str">
        <f>D282</f>
        <v>بانک اقتصاد نوین</v>
      </c>
      <c r="E293" s="74" t="s">
        <v>300</v>
      </c>
      <c r="G293" s="20">
        <v>533334625</v>
      </c>
      <c r="H293" s="66"/>
    </row>
    <row r="294" spans="1:8" ht="42.75" customHeight="1">
      <c r="A294" s="1">
        <v>291</v>
      </c>
      <c r="B294" s="21" t="s">
        <v>298</v>
      </c>
      <c r="C294" s="1">
        <v>128099</v>
      </c>
      <c r="D294" s="19" t="str">
        <f>D284</f>
        <v>بانک اقتصاد نوین</v>
      </c>
      <c r="E294" s="74" t="s">
        <v>260</v>
      </c>
      <c r="G294" s="20">
        <v>60000000</v>
      </c>
      <c r="H294" s="66"/>
    </row>
    <row r="295" spans="1:8" ht="42.75" customHeight="1">
      <c r="A295" s="1">
        <v>292</v>
      </c>
      <c r="B295" s="21" t="s">
        <v>301</v>
      </c>
      <c r="C295" s="1">
        <v>128100</v>
      </c>
      <c r="D295" s="19" t="str">
        <f>D284</f>
        <v>بانک اقتصاد نوین</v>
      </c>
      <c r="E295" s="74" t="s">
        <v>304</v>
      </c>
      <c r="G295" s="20">
        <v>30000000</v>
      </c>
      <c r="H295" s="66"/>
    </row>
    <row r="296" spans="1:8" ht="42.75" customHeight="1">
      <c r="A296" s="1">
        <v>293</v>
      </c>
      <c r="B296" s="21" t="s">
        <v>303</v>
      </c>
      <c r="C296" s="1">
        <v>510301</v>
      </c>
      <c r="D296" s="19" t="str">
        <f t="shared" ref="D296:D302" si="6">D286</f>
        <v>بانک اقتصاد نوین</v>
      </c>
      <c r="E296" s="74" t="s">
        <v>302</v>
      </c>
      <c r="G296" s="20">
        <v>26145000</v>
      </c>
      <c r="H296" s="66"/>
    </row>
    <row r="297" spans="1:8" ht="42.75" customHeight="1">
      <c r="A297" s="1">
        <v>294</v>
      </c>
      <c r="B297" s="21" t="s">
        <v>303</v>
      </c>
      <c r="C297" s="1">
        <v>510302</v>
      </c>
      <c r="D297" s="19" t="str">
        <f t="shared" si="6"/>
        <v>بانک اقتصاد نوین</v>
      </c>
      <c r="E297" s="74" t="s">
        <v>305</v>
      </c>
      <c r="G297" s="20">
        <v>20000000</v>
      </c>
      <c r="H297" s="66"/>
    </row>
    <row r="298" spans="1:8" ht="42.75" customHeight="1">
      <c r="A298" s="1">
        <v>295</v>
      </c>
      <c r="B298" s="21" t="s">
        <v>306</v>
      </c>
      <c r="C298" s="1">
        <v>510303</v>
      </c>
      <c r="D298" s="19" t="str">
        <f>D287</f>
        <v>بانک اقتصاد نوین</v>
      </c>
      <c r="E298" s="74" t="s">
        <v>310</v>
      </c>
      <c r="G298" s="20">
        <v>824341946</v>
      </c>
      <c r="H298" s="66"/>
    </row>
    <row r="299" spans="1:8" ht="42.75" customHeight="1">
      <c r="A299" s="1">
        <v>296</v>
      </c>
      <c r="B299" s="21" t="s">
        <v>306</v>
      </c>
      <c r="C299" s="1">
        <v>510304</v>
      </c>
      <c r="D299" s="19" t="str">
        <f t="shared" si="6"/>
        <v>بانک اقتصاد نوین</v>
      </c>
      <c r="E299" s="74" t="s">
        <v>307</v>
      </c>
      <c r="G299" s="20">
        <v>50140000</v>
      </c>
      <c r="H299" s="66"/>
    </row>
    <row r="300" spans="1:8" ht="42.75" customHeight="1">
      <c r="A300" s="1">
        <v>297</v>
      </c>
      <c r="B300" s="21" t="s">
        <v>306</v>
      </c>
      <c r="C300" s="1">
        <v>510305</v>
      </c>
      <c r="D300" s="19" t="str">
        <f t="shared" si="6"/>
        <v>بانک اقتصاد نوین</v>
      </c>
      <c r="E300" s="74" t="s">
        <v>311</v>
      </c>
      <c r="G300" s="20">
        <f>28000000+8000000</f>
        <v>36000000</v>
      </c>
      <c r="H300" s="66"/>
    </row>
    <row r="301" spans="1:8" ht="42.75" customHeight="1">
      <c r="A301" s="1">
        <v>298</v>
      </c>
      <c r="B301" s="21" t="s">
        <v>306</v>
      </c>
      <c r="C301" s="1">
        <v>510306</v>
      </c>
      <c r="D301" s="19" t="str">
        <f>D290</f>
        <v>بانک اقتصاد نوین</v>
      </c>
      <c r="E301" s="74" t="s">
        <v>308</v>
      </c>
      <c r="G301" s="20">
        <v>1044249450</v>
      </c>
      <c r="H301" s="66"/>
    </row>
    <row r="302" spans="1:8" ht="42.75" customHeight="1">
      <c r="A302" s="1">
        <v>299</v>
      </c>
      <c r="B302" s="21" t="s">
        <v>306</v>
      </c>
      <c r="C302" s="1">
        <v>510307</v>
      </c>
      <c r="D302" s="19" t="str">
        <f t="shared" si="6"/>
        <v>بانک اقتصاد نوین</v>
      </c>
      <c r="E302" s="74" t="s">
        <v>309</v>
      </c>
      <c r="G302" s="20">
        <v>452230024</v>
      </c>
      <c r="H302" s="66"/>
    </row>
    <row r="303" spans="1:8" ht="42.75" customHeight="1">
      <c r="A303" s="1">
        <v>300</v>
      </c>
      <c r="B303" s="21" t="s">
        <v>314</v>
      </c>
      <c r="C303" s="1">
        <v>510308</v>
      </c>
      <c r="D303" s="19" t="str">
        <f>D293</f>
        <v>بانک اقتصاد نوین</v>
      </c>
      <c r="E303" s="74" t="s">
        <v>317</v>
      </c>
      <c r="G303" s="20">
        <v>37234400</v>
      </c>
      <c r="H303" s="66"/>
    </row>
    <row r="304" spans="1:8" ht="42.75" customHeight="1">
      <c r="A304" s="1">
        <v>301</v>
      </c>
      <c r="B304" s="21" t="s">
        <v>314</v>
      </c>
      <c r="C304" s="1">
        <v>510309</v>
      </c>
      <c r="D304" s="19" t="str">
        <f>D295</f>
        <v>بانک اقتصاد نوین</v>
      </c>
      <c r="E304" s="74" t="s">
        <v>312</v>
      </c>
      <c r="G304" s="20">
        <v>21089094</v>
      </c>
      <c r="H304" s="66"/>
    </row>
    <row r="305" spans="1:8" ht="42.75" customHeight="1">
      <c r="A305" s="1">
        <v>302</v>
      </c>
      <c r="B305" s="21" t="s">
        <v>314</v>
      </c>
      <c r="C305" s="1">
        <v>510310</v>
      </c>
      <c r="D305" s="19" t="str">
        <f>D296</f>
        <v>بانک اقتصاد نوین</v>
      </c>
      <c r="E305" s="74" t="s">
        <v>313</v>
      </c>
      <c r="G305" s="20">
        <v>55373456</v>
      </c>
      <c r="H305" s="67"/>
    </row>
    <row r="306" spans="1:8" ht="42.75" customHeight="1">
      <c r="A306" s="1">
        <v>303</v>
      </c>
      <c r="B306" s="21" t="s">
        <v>314</v>
      </c>
      <c r="C306" s="1">
        <v>510311</v>
      </c>
      <c r="D306" s="19" t="str">
        <f>D293</f>
        <v>بانک اقتصاد نوین</v>
      </c>
      <c r="E306" s="74" t="s">
        <v>319</v>
      </c>
      <c r="G306" s="20">
        <v>9854754</v>
      </c>
      <c r="H306" s="66">
        <f>SUM(G303:G312)</f>
        <v>534733396</v>
      </c>
    </row>
    <row r="307" spans="1:8" ht="42.75" customHeight="1">
      <c r="A307" s="1">
        <v>304</v>
      </c>
      <c r="B307" s="21" t="s">
        <v>314</v>
      </c>
      <c r="C307" s="1">
        <v>510312</v>
      </c>
      <c r="D307" s="19" t="str">
        <f>D296</f>
        <v>بانک اقتصاد نوین</v>
      </c>
      <c r="E307" s="74" t="s">
        <v>315</v>
      </c>
      <c r="G307" s="20">
        <v>83016000</v>
      </c>
      <c r="H307" s="20">
        <v>128184000</v>
      </c>
    </row>
    <row r="308" spans="1:8" ht="42.75" customHeight="1">
      <c r="A308" s="1">
        <v>305</v>
      </c>
      <c r="B308" s="21" t="s">
        <v>314</v>
      </c>
      <c r="C308" s="1">
        <v>510313</v>
      </c>
      <c r="D308" s="19" t="str">
        <f>D298</f>
        <v>بانک اقتصاد نوین</v>
      </c>
      <c r="E308" s="74" t="s">
        <v>316</v>
      </c>
      <c r="G308" s="20">
        <v>10000000</v>
      </c>
      <c r="H308" s="66">
        <f>H306+H307</f>
        <v>662917396</v>
      </c>
    </row>
    <row r="309" spans="1:8" ht="42.75" customHeight="1">
      <c r="A309" s="1">
        <v>306</v>
      </c>
      <c r="B309" s="21" t="s">
        <v>314</v>
      </c>
      <c r="C309" s="1">
        <v>510314</v>
      </c>
      <c r="D309" s="19" t="str">
        <f>D299</f>
        <v>بانک اقتصاد نوین</v>
      </c>
      <c r="E309" s="74" t="s">
        <v>318</v>
      </c>
      <c r="G309" s="20">
        <v>148500000</v>
      </c>
      <c r="H309" s="67"/>
    </row>
    <row r="310" spans="1:8" ht="42.75" customHeight="1">
      <c r="A310" s="1">
        <v>307</v>
      </c>
      <c r="B310" s="21" t="s">
        <v>314</v>
      </c>
      <c r="C310" s="1">
        <v>510315</v>
      </c>
      <c r="D310" s="19" t="str">
        <f>D301</f>
        <v>بانک اقتصاد نوین</v>
      </c>
      <c r="E310" s="74" t="s">
        <v>322</v>
      </c>
      <c r="G310" s="20">
        <v>30000000</v>
      </c>
    </row>
    <row r="311" spans="1:8" ht="42.75" customHeight="1">
      <c r="A311" s="1">
        <v>308</v>
      </c>
      <c r="B311" s="21" t="s">
        <v>314</v>
      </c>
      <c r="C311" s="1">
        <v>510316</v>
      </c>
      <c r="D311" s="19" t="str">
        <f>D301</f>
        <v>بانک اقتصاد نوین</v>
      </c>
      <c r="E311" s="74" t="s">
        <v>320</v>
      </c>
      <c r="G311" s="20">
        <f>99760000-(99760000*10%)</f>
        <v>89784000</v>
      </c>
      <c r="H311" s="67"/>
    </row>
    <row r="312" spans="1:8" ht="42.75" customHeight="1">
      <c r="A312" s="1">
        <v>309</v>
      </c>
      <c r="B312" s="21" t="s">
        <v>314</v>
      </c>
      <c r="C312" s="1">
        <v>510317</v>
      </c>
      <c r="D312" s="19" t="str">
        <f>D303</f>
        <v>بانک اقتصاد نوین</v>
      </c>
      <c r="E312" s="74" t="s">
        <v>321</v>
      </c>
      <c r="G312" s="20">
        <v>49881692</v>
      </c>
      <c r="H312" s="69"/>
    </row>
    <row r="313" spans="1:8" ht="42.75" customHeight="1">
      <c r="A313" s="1">
        <v>310</v>
      </c>
      <c r="B313" s="21" t="s">
        <v>323</v>
      </c>
      <c r="C313" s="1">
        <v>510318</v>
      </c>
      <c r="D313" s="19" t="str">
        <f>D303</f>
        <v>بانک اقتصاد نوین</v>
      </c>
      <c r="E313" s="74" t="s">
        <v>296</v>
      </c>
      <c r="G313" s="20">
        <v>520000000</v>
      </c>
      <c r="H313" s="68"/>
    </row>
    <row r="314" spans="1:8" ht="42.75" customHeight="1">
      <c r="A314" s="1">
        <v>311</v>
      </c>
      <c r="B314" s="21" t="s">
        <v>323</v>
      </c>
      <c r="C314" s="1">
        <v>510319</v>
      </c>
      <c r="D314" s="19" t="str">
        <f>D305</f>
        <v>بانک اقتصاد نوین</v>
      </c>
      <c r="E314" s="74" t="s">
        <v>322</v>
      </c>
      <c r="G314" s="20">
        <v>20000000</v>
      </c>
      <c r="H314" s="68"/>
    </row>
    <row r="315" spans="1:8" ht="42.75" customHeight="1">
      <c r="A315" s="1">
        <v>312</v>
      </c>
      <c r="B315" s="21" t="s">
        <v>324</v>
      </c>
      <c r="C315" s="1">
        <v>510320</v>
      </c>
      <c r="D315" s="19" t="str">
        <f>D306</f>
        <v>بانک اقتصاد نوین</v>
      </c>
      <c r="E315" s="74" t="s">
        <v>325</v>
      </c>
      <c r="F315" s="73">
        <v>0</v>
      </c>
      <c r="G315" s="20">
        <v>72500000</v>
      </c>
      <c r="H315" s="20">
        <v>0</v>
      </c>
    </row>
    <row r="316" spans="1:8" ht="42.75" customHeight="1">
      <c r="A316" s="1">
        <v>313</v>
      </c>
      <c r="B316" s="21" t="s">
        <v>324</v>
      </c>
      <c r="C316" s="1"/>
      <c r="D316" s="19" t="str">
        <f>D307</f>
        <v>بانک اقتصاد نوین</v>
      </c>
      <c r="E316" s="74" t="s">
        <v>38</v>
      </c>
      <c r="G316" s="20">
        <v>100000</v>
      </c>
      <c r="H316" s="20">
        <v>0</v>
      </c>
    </row>
    <row r="317" spans="1:8" ht="42.75" customHeight="1">
      <c r="A317" s="1">
        <v>314</v>
      </c>
      <c r="B317" s="21" t="s">
        <v>324</v>
      </c>
      <c r="C317" s="1"/>
      <c r="D317" s="19" t="str">
        <f>D309</f>
        <v>بانک اقتصاد نوین</v>
      </c>
      <c r="E317" s="74" t="s">
        <v>375</v>
      </c>
      <c r="F317" s="73">
        <v>300000000</v>
      </c>
      <c r="G317" s="70">
        <v>0</v>
      </c>
      <c r="H317" s="20">
        <v>0</v>
      </c>
    </row>
    <row r="318" spans="1:8" ht="42.75" customHeight="1">
      <c r="A318" s="1">
        <v>315</v>
      </c>
      <c r="B318" s="21"/>
      <c r="C318" s="1"/>
      <c r="D318" s="72"/>
      <c r="E318" s="74"/>
      <c r="G318" s="70"/>
      <c r="H318" s="20">
        <v>349900000</v>
      </c>
    </row>
    <row r="319" spans="1:8" ht="42.75" customHeight="1">
      <c r="A319" s="1">
        <v>316</v>
      </c>
      <c r="B319" s="21" t="s">
        <v>391</v>
      </c>
      <c r="C319" s="1"/>
      <c r="D319" s="72"/>
      <c r="E319" s="74"/>
      <c r="F319" s="73">
        <v>0</v>
      </c>
      <c r="G319" s="20">
        <v>50000000</v>
      </c>
      <c r="H319" s="20">
        <f>H318-Table13[[#This Row],[مبلغ خروج]]+Table13[[#This Row],[مبلغ ورود]]</f>
        <v>299900000</v>
      </c>
    </row>
    <row r="320" spans="1:8" ht="42.75" customHeight="1">
      <c r="A320" s="1">
        <v>317</v>
      </c>
      <c r="B320" s="21" t="s">
        <v>391</v>
      </c>
      <c r="C320" s="1"/>
      <c r="D320" s="72"/>
      <c r="E320" s="74"/>
      <c r="F320" s="73">
        <v>0</v>
      </c>
      <c r="G320" s="20">
        <v>290000</v>
      </c>
      <c r="H320" s="20">
        <f>H319-Table13[[#This Row],[مبلغ خروج]]+Table13[[#This Row],[مبلغ ورود]]</f>
        <v>299610000</v>
      </c>
    </row>
    <row r="321" spans="1:8" ht="42.75" customHeight="1">
      <c r="A321" s="1">
        <v>318</v>
      </c>
      <c r="B321" s="21" t="s">
        <v>329</v>
      </c>
      <c r="C321" s="1"/>
      <c r="D321" s="72"/>
      <c r="E321" s="74"/>
      <c r="G321" s="20">
        <f>77500+65000</f>
        <v>142500</v>
      </c>
      <c r="H321" s="20">
        <f>H320-Table13[[#This Row],[مبلغ خروج]]+Table13[[#This Row],[مبلغ ورود]]</f>
        <v>299467500</v>
      </c>
    </row>
    <row r="322" spans="1:8" ht="42.75" customHeight="1">
      <c r="A322" s="1">
        <v>319</v>
      </c>
      <c r="B322" s="21" t="s">
        <v>329</v>
      </c>
      <c r="C322" s="1">
        <v>510321</v>
      </c>
      <c r="D322" s="19" t="str">
        <f>D307</f>
        <v>بانک اقتصاد نوین</v>
      </c>
      <c r="E322" s="74" t="s">
        <v>326</v>
      </c>
      <c r="F322" s="73">
        <v>0</v>
      </c>
      <c r="G322" s="20">
        <v>1082146828</v>
      </c>
      <c r="H322" s="20">
        <f>H321-Table13[[#This Row],[مبلغ خروج]]+Table13[[#This Row],[مبلغ ورود]]</f>
        <v>-782679328</v>
      </c>
    </row>
    <row r="323" spans="1:8" ht="42.75" customHeight="1">
      <c r="A323" s="1">
        <v>320</v>
      </c>
      <c r="B323" s="21" t="s">
        <v>329</v>
      </c>
      <c r="C323" s="1">
        <v>510322</v>
      </c>
      <c r="D323" s="19" t="str">
        <f>D308</f>
        <v>بانک اقتصاد نوین</v>
      </c>
      <c r="E323" s="74" t="s">
        <v>327</v>
      </c>
      <c r="F323" s="73">
        <v>0</v>
      </c>
      <c r="G323" s="20">
        <v>473387976</v>
      </c>
      <c r="H323" s="20">
        <f>H322-Table13[[#This Row],[مبلغ خروج]]+Table13[[#This Row],[مبلغ ورود]]</f>
        <v>-1256067304</v>
      </c>
    </row>
    <row r="324" spans="1:8" ht="42.75" customHeight="1">
      <c r="A324" s="1">
        <v>321</v>
      </c>
      <c r="B324" s="21" t="s">
        <v>329</v>
      </c>
      <c r="C324" s="1">
        <v>510323</v>
      </c>
      <c r="D324" s="19" t="str">
        <f>D309</f>
        <v>بانک اقتصاد نوین</v>
      </c>
      <c r="E324" s="74" t="s">
        <v>328</v>
      </c>
      <c r="F324" s="73">
        <v>0</v>
      </c>
      <c r="G324" s="20">
        <v>28600000</v>
      </c>
      <c r="H324" s="20">
        <f>H323-Table13[[#This Row],[مبلغ خروج]]+Table13[[#This Row],[مبلغ ورود]]</f>
        <v>-1284667304</v>
      </c>
    </row>
    <row r="325" spans="1:8" ht="42.75" customHeight="1">
      <c r="A325" s="1">
        <v>322</v>
      </c>
      <c r="B325" s="21" t="s">
        <v>329</v>
      </c>
      <c r="C325" s="1">
        <v>510324</v>
      </c>
      <c r="D325" s="19" t="str">
        <f>D310</f>
        <v>بانک اقتصاد نوین</v>
      </c>
      <c r="E325" s="74" t="s">
        <v>316</v>
      </c>
      <c r="F325" s="73">
        <v>0</v>
      </c>
      <c r="G325" s="20">
        <v>20000000</v>
      </c>
      <c r="H325" s="20">
        <f>H324-Table13[[#This Row],[مبلغ خروج]]+Table13[[#This Row],[مبلغ ورود]]</f>
        <v>-1304667304</v>
      </c>
    </row>
    <row r="326" spans="1:8" ht="42.75" customHeight="1">
      <c r="A326" s="1">
        <v>323</v>
      </c>
      <c r="B326" s="21" t="s">
        <v>329</v>
      </c>
      <c r="C326" s="1">
        <v>510325</v>
      </c>
      <c r="D326" s="19" t="str">
        <f>D311</f>
        <v>بانک اقتصاد نوین</v>
      </c>
      <c r="E326" s="74" t="s">
        <v>322</v>
      </c>
      <c r="F326" s="73">
        <v>0</v>
      </c>
      <c r="G326" s="20">
        <v>20000000</v>
      </c>
      <c r="H326" s="20">
        <f>H325-Table13[[#This Row],[مبلغ خروج]]+Table13[[#This Row],[مبلغ ورود]]</f>
        <v>-1324667304</v>
      </c>
    </row>
    <row r="327" spans="1:8" ht="42.75" customHeight="1">
      <c r="A327" s="1">
        <v>324</v>
      </c>
      <c r="B327" s="21" t="s">
        <v>329</v>
      </c>
      <c r="C327" s="1">
        <v>510326</v>
      </c>
      <c r="D327" s="19" t="str">
        <f>D313</f>
        <v>بانک اقتصاد نوین</v>
      </c>
      <c r="E327" s="74" t="s">
        <v>330</v>
      </c>
      <c r="F327" s="73">
        <v>0</v>
      </c>
      <c r="G327" s="20">
        <v>62400000</v>
      </c>
      <c r="H327" s="20">
        <f>H326-Table13[[#This Row],[مبلغ خروج]]+Table13[[#This Row],[مبلغ ورود]]</f>
        <v>-1387067304</v>
      </c>
    </row>
    <row r="328" spans="1:8" ht="42.75" customHeight="1">
      <c r="A328" s="1">
        <v>325</v>
      </c>
      <c r="B328" s="21" t="s">
        <v>329</v>
      </c>
      <c r="C328" s="1">
        <v>510327</v>
      </c>
      <c r="D328" s="19" t="str">
        <f>D314</f>
        <v>بانک اقتصاد نوین</v>
      </c>
      <c r="E328" s="74" t="s">
        <v>320</v>
      </c>
      <c r="F328" s="73">
        <v>0</v>
      </c>
      <c r="G328" s="20">
        <v>99760000</v>
      </c>
      <c r="H328" s="20">
        <f>H327-Table13[[#This Row],[مبلغ خروج]]+Table13[[#This Row],[مبلغ ورود]]</f>
        <v>-1486827304</v>
      </c>
    </row>
    <row r="329" spans="1:8" ht="42.75" customHeight="1">
      <c r="A329" s="1">
        <v>326</v>
      </c>
      <c r="B329" s="21" t="s">
        <v>329</v>
      </c>
      <c r="C329" s="1">
        <v>510328</v>
      </c>
      <c r="D329" s="19" t="str">
        <f>D314</f>
        <v>بانک اقتصاد نوین</v>
      </c>
      <c r="E329" s="74" t="s">
        <v>331</v>
      </c>
      <c r="F329" s="73">
        <v>0</v>
      </c>
      <c r="G329" s="20">
        <v>53889600</v>
      </c>
      <c r="H329" s="20">
        <f>H328-Table13[[#This Row],[مبلغ خروج]]+Table13[[#This Row],[مبلغ ورود]]</f>
        <v>-1540716904</v>
      </c>
    </row>
    <row r="330" spans="1:8" ht="42.75" customHeight="1">
      <c r="A330" s="1">
        <v>327</v>
      </c>
      <c r="B330" s="21" t="s">
        <v>376</v>
      </c>
      <c r="C330" s="1"/>
      <c r="D330" s="19" t="str">
        <f>D315</f>
        <v>بانک اقتصاد نوین</v>
      </c>
      <c r="E330" s="74" t="s">
        <v>375</v>
      </c>
      <c r="F330" s="73">
        <v>2000000000</v>
      </c>
      <c r="G330" s="70"/>
      <c r="H330" s="20">
        <f>H329-Table13[[#This Row],[مبلغ خروج]]+Table13[[#This Row],[مبلغ ورود]]</f>
        <v>459283096</v>
      </c>
    </row>
    <row r="331" spans="1:8" ht="42.75" customHeight="1">
      <c r="A331" s="1">
        <v>328</v>
      </c>
      <c r="B331" s="21" t="s">
        <v>332</v>
      </c>
      <c r="C331" s="1">
        <v>510329</v>
      </c>
      <c r="D331" s="19" t="str">
        <f>D322</f>
        <v>بانک اقتصاد نوین</v>
      </c>
      <c r="E331" s="74" t="s">
        <v>333</v>
      </c>
      <c r="F331" s="73">
        <v>0</v>
      </c>
      <c r="G331" s="20">
        <v>29920500</v>
      </c>
      <c r="H331" s="20">
        <f>H330-Table13[[#This Row],[مبلغ خروج]]+Table13[[#This Row],[مبلغ ورود]]</f>
        <v>429362596</v>
      </c>
    </row>
    <row r="332" spans="1:8" ht="42.75" customHeight="1">
      <c r="A332" s="1">
        <v>329</v>
      </c>
      <c r="B332" s="21" t="s">
        <v>377</v>
      </c>
      <c r="C332" s="1"/>
      <c r="D332" s="19" t="str">
        <f>D323</f>
        <v>بانک اقتصاد نوین</v>
      </c>
      <c r="E332" s="74" t="s">
        <v>378</v>
      </c>
      <c r="F332" s="73">
        <v>4778000</v>
      </c>
      <c r="G332" s="70"/>
      <c r="H332" s="20">
        <f>H331-Table13[[#This Row],[مبلغ خروج]]+Table13[[#This Row],[مبلغ ورود]]</f>
        <v>434140596</v>
      </c>
    </row>
    <row r="333" spans="1:8" ht="42.75" customHeight="1">
      <c r="A333" s="1">
        <v>330</v>
      </c>
      <c r="B333" s="21" t="s">
        <v>337</v>
      </c>
      <c r="C333" s="1">
        <v>510330</v>
      </c>
      <c r="D333" s="19" t="str">
        <f>D323</f>
        <v>بانک اقتصاد نوین</v>
      </c>
      <c r="E333" s="74" t="s">
        <v>334</v>
      </c>
      <c r="F333" s="73">
        <v>0</v>
      </c>
      <c r="G333" s="20">
        <v>35405350</v>
      </c>
      <c r="H333" s="20">
        <f>H332-Table13[[#This Row],[مبلغ خروج]]+Table13[[#This Row],[مبلغ ورود]]</f>
        <v>398735246</v>
      </c>
    </row>
    <row r="334" spans="1:8" ht="42.75" customHeight="1">
      <c r="A334" s="1">
        <v>331</v>
      </c>
      <c r="B334" s="21" t="s">
        <v>337</v>
      </c>
      <c r="C334" s="1">
        <v>510331</v>
      </c>
      <c r="D334" s="19" t="str">
        <f>D323</f>
        <v>بانک اقتصاد نوین</v>
      </c>
      <c r="E334" s="74" t="s">
        <v>335</v>
      </c>
      <c r="F334" s="73">
        <v>0</v>
      </c>
      <c r="G334" s="20">
        <v>26992334</v>
      </c>
      <c r="H334" s="20">
        <f>H333-Table13[[#This Row],[مبلغ خروج]]+Table13[[#This Row],[مبلغ ورود]]</f>
        <v>371742912</v>
      </c>
    </row>
    <row r="335" spans="1:8" ht="42.75" customHeight="1">
      <c r="A335" s="1">
        <v>332</v>
      </c>
      <c r="B335" s="21" t="s">
        <v>337</v>
      </c>
      <c r="C335" s="1">
        <v>510332</v>
      </c>
      <c r="D335" s="19" t="str">
        <f>D325</f>
        <v>بانک اقتصاد نوین</v>
      </c>
      <c r="E335" s="74" t="s">
        <v>336</v>
      </c>
      <c r="F335" s="73">
        <v>0</v>
      </c>
      <c r="G335" s="20">
        <v>11664000</v>
      </c>
      <c r="H335" s="20">
        <f>H334-Table13[[#This Row],[مبلغ خروج]]+Table13[[#This Row],[مبلغ ورود]]</f>
        <v>360078912</v>
      </c>
    </row>
    <row r="336" spans="1:8" ht="42.75" customHeight="1">
      <c r="A336" s="1">
        <v>333</v>
      </c>
      <c r="B336" s="21" t="s">
        <v>337</v>
      </c>
      <c r="C336" s="1">
        <v>510333</v>
      </c>
      <c r="D336" s="19" t="str">
        <f>D326</f>
        <v>بانک اقتصاد نوین</v>
      </c>
      <c r="E336" s="74" t="s">
        <v>338</v>
      </c>
      <c r="F336" s="73">
        <v>0</v>
      </c>
      <c r="G336" s="20">
        <v>60000000</v>
      </c>
      <c r="H336" s="20">
        <f>H335-Table13[[#This Row],[مبلغ خروج]]+Table13[[#This Row],[مبلغ ورود]]</f>
        <v>300078912</v>
      </c>
    </row>
    <row r="337" spans="1:8" ht="42.75" customHeight="1">
      <c r="A337" s="1">
        <v>334</v>
      </c>
      <c r="B337" s="21" t="s">
        <v>337</v>
      </c>
      <c r="C337" s="1">
        <v>510334</v>
      </c>
      <c r="D337" s="19" t="str">
        <f>D326</f>
        <v>بانک اقتصاد نوین</v>
      </c>
      <c r="E337" s="74" t="s">
        <v>169</v>
      </c>
      <c r="F337" s="73">
        <v>0</v>
      </c>
      <c r="G337" s="20">
        <v>7575500</v>
      </c>
      <c r="H337" s="20">
        <f>H336-Table13[[#This Row],[مبلغ خروج]]+Table13[[#This Row],[مبلغ ورود]]</f>
        <v>292503412</v>
      </c>
    </row>
    <row r="338" spans="1:8" ht="42.75" customHeight="1">
      <c r="A338" s="1">
        <v>335</v>
      </c>
      <c r="B338" s="21" t="s">
        <v>337</v>
      </c>
      <c r="C338" s="1">
        <v>510335</v>
      </c>
      <c r="D338" s="19" t="str">
        <f>D328</f>
        <v>بانک اقتصاد نوین</v>
      </c>
      <c r="E338" s="74" t="s">
        <v>322</v>
      </c>
      <c r="F338" s="73">
        <v>0</v>
      </c>
      <c r="G338" s="20">
        <v>20000000</v>
      </c>
      <c r="H338" s="20">
        <f>H337-Table13[[#This Row],[مبلغ خروج]]+Table13[[#This Row],[مبلغ ورود]]</f>
        <v>272503412</v>
      </c>
    </row>
    <row r="339" spans="1:8" ht="42.75" customHeight="1">
      <c r="A339" s="1">
        <v>336</v>
      </c>
      <c r="B339" s="21" t="s">
        <v>380</v>
      </c>
      <c r="C339" s="1"/>
      <c r="D339" s="19" t="str">
        <f>D329</f>
        <v>بانک اقتصاد نوین</v>
      </c>
      <c r="E339" s="74" t="s">
        <v>378</v>
      </c>
      <c r="F339" s="73">
        <v>377424949</v>
      </c>
      <c r="H339" s="20">
        <f>H338-Table13[[#This Row],[مبلغ خروج]]+Table13[[#This Row],[مبلغ ورود]]</f>
        <v>649928361</v>
      </c>
    </row>
    <row r="340" spans="1:8" ht="42.75" customHeight="1">
      <c r="A340" s="1">
        <v>337</v>
      </c>
      <c r="B340" s="21" t="s">
        <v>340</v>
      </c>
      <c r="C340" s="1">
        <v>510336</v>
      </c>
      <c r="D340" s="19" t="str">
        <f>D328</f>
        <v>بانک اقتصاد نوین</v>
      </c>
      <c r="E340" s="74" t="s">
        <v>339</v>
      </c>
      <c r="F340" s="73">
        <v>0</v>
      </c>
      <c r="G340" s="20">
        <v>258264000</v>
      </c>
      <c r="H340" s="20">
        <f>H339-Table13[[#This Row],[مبلغ خروج]]+Table13[[#This Row],[مبلغ ورود]]</f>
        <v>391664361</v>
      </c>
    </row>
    <row r="341" spans="1:8" ht="42.75" customHeight="1">
      <c r="A341" s="1">
        <v>338</v>
      </c>
      <c r="B341" s="21" t="s">
        <v>340</v>
      </c>
      <c r="C341" s="1">
        <v>510337</v>
      </c>
      <c r="D341" s="19" t="str">
        <f>D331</f>
        <v>بانک اقتصاد نوین</v>
      </c>
      <c r="E341" s="74" t="s">
        <v>322</v>
      </c>
      <c r="F341" s="73">
        <v>0</v>
      </c>
      <c r="G341" s="20">
        <v>30000000</v>
      </c>
      <c r="H341" s="20">
        <f>H340-Table13[[#This Row],[مبلغ خروج]]+Table13[[#This Row],[مبلغ ورود]]</f>
        <v>361664361</v>
      </c>
    </row>
    <row r="342" spans="1:8" ht="42.75" customHeight="1">
      <c r="A342" s="1">
        <v>339</v>
      </c>
      <c r="B342" s="21" t="s">
        <v>340</v>
      </c>
      <c r="C342" s="1">
        <v>510338</v>
      </c>
      <c r="D342" s="19" t="str">
        <f>D331</f>
        <v>بانک اقتصاد نوین</v>
      </c>
      <c r="E342" s="74" t="s">
        <v>316</v>
      </c>
      <c r="F342" s="73">
        <v>0</v>
      </c>
      <c r="G342" s="20">
        <v>70000000</v>
      </c>
      <c r="H342" s="20">
        <f>H341-Table13[[#This Row],[مبلغ خروج]]+Table13[[#This Row],[مبلغ ورود]]</f>
        <v>291664361</v>
      </c>
    </row>
    <row r="343" spans="1:8" ht="42.75" customHeight="1">
      <c r="A343" s="1">
        <v>340</v>
      </c>
      <c r="B343" s="21" t="s">
        <v>340</v>
      </c>
      <c r="C343" s="1">
        <v>510339</v>
      </c>
      <c r="D343" s="19" t="str">
        <f>D333</f>
        <v>بانک اقتصاد نوین</v>
      </c>
      <c r="E343" s="74" t="s">
        <v>331</v>
      </c>
      <c r="F343" s="73">
        <v>0</v>
      </c>
      <c r="G343" s="20">
        <v>162737000</v>
      </c>
      <c r="H343" s="20">
        <f>H342-Table13[[#This Row],[مبلغ خروج]]+Table13[[#This Row],[مبلغ ورود]]</f>
        <v>128927361</v>
      </c>
    </row>
    <row r="344" spans="1:8" ht="42.75" customHeight="1">
      <c r="A344" s="1">
        <v>341</v>
      </c>
      <c r="B344" s="21" t="s">
        <v>343</v>
      </c>
      <c r="C344" s="1">
        <v>510341</v>
      </c>
      <c r="D344" s="19" t="str">
        <f>D335</f>
        <v>بانک اقتصاد نوین</v>
      </c>
      <c r="E344" s="74" t="s">
        <v>341</v>
      </c>
      <c r="F344" s="73">
        <v>0</v>
      </c>
      <c r="G344" s="20">
        <v>19990000</v>
      </c>
      <c r="H344" s="20">
        <f>H343-Table13[[#This Row],[مبلغ خروج]]+Table13[[#This Row],[مبلغ ورود]]</f>
        <v>108937361</v>
      </c>
    </row>
    <row r="345" spans="1:8" ht="42.75" customHeight="1">
      <c r="A345" s="1">
        <v>342</v>
      </c>
      <c r="B345" s="21" t="s">
        <v>343</v>
      </c>
      <c r="C345" s="1">
        <v>510342</v>
      </c>
      <c r="D345" s="19" t="str">
        <f>D335</f>
        <v>بانک اقتصاد نوین</v>
      </c>
      <c r="E345" s="74" t="s">
        <v>342</v>
      </c>
      <c r="F345" s="73">
        <v>0</v>
      </c>
      <c r="G345" s="20">
        <v>78480000</v>
      </c>
      <c r="H345" s="20">
        <f>H344-Table13[[#This Row],[مبلغ خروج]]+Table13[[#This Row],[مبلغ ورود]]</f>
        <v>30457361</v>
      </c>
    </row>
    <row r="346" spans="1:8" ht="42.75" customHeight="1">
      <c r="A346" s="1">
        <v>343</v>
      </c>
      <c r="B346" s="21" t="s">
        <v>344</v>
      </c>
      <c r="C346" s="1">
        <v>510343</v>
      </c>
      <c r="D346" s="19" t="str">
        <f>D336</f>
        <v>بانک اقتصاد نوین</v>
      </c>
      <c r="E346" s="74" t="s">
        <v>296</v>
      </c>
      <c r="F346" s="73">
        <v>0</v>
      </c>
      <c r="G346" s="20">
        <v>600000000</v>
      </c>
      <c r="H346" s="20">
        <f>H345-Table13[[#This Row],[مبلغ خروج]]+Table13[[#This Row],[مبلغ ورود]]</f>
        <v>-569542639</v>
      </c>
    </row>
    <row r="347" spans="1:8" ht="42.75" customHeight="1">
      <c r="A347" s="1">
        <v>344</v>
      </c>
      <c r="B347" s="21" t="s">
        <v>344</v>
      </c>
      <c r="C347" s="1">
        <v>510344</v>
      </c>
      <c r="D347" s="19" t="str">
        <f>D338</f>
        <v>بانک اقتصاد نوین</v>
      </c>
      <c r="E347" s="74" t="s">
        <v>322</v>
      </c>
      <c r="F347" s="73">
        <v>0</v>
      </c>
      <c r="G347" s="20">
        <v>50000000</v>
      </c>
      <c r="H347" s="20">
        <f>H346-Table13[[#This Row],[مبلغ خروج]]+Table13[[#This Row],[مبلغ ورود]]</f>
        <v>-619542639</v>
      </c>
    </row>
    <row r="348" spans="1:8" ht="42.75" customHeight="1">
      <c r="A348" s="1">
        <v>345</v>
      </c>
      <c r="B348" s="21" t="s">
        <v>344</v>
      </c>
      <c r="C348" s="1">
        <v>510345</v>
      </c>
      <c r="D348" s="19" t="str">
        <f>D336</f>
        <v>بانک اقتصاد نوین</v>
      </c>
      <c r="E348" s="74" t="s">
        <v>347</v>
      </c>
      <c r="F348" s="73">
        <v>0</v>
      </c>
      <c r="G348" s="20">
        <v>61750000</v>
      </c>
      <c r="H348" s="20">
        <f>H347-Table13[[#This Row],[مبلغ خروج]]+Table13[[#This Row],[مبلغ ورود]]</f>
        <v>-681292639</v>
      </c>
    </row>
    <row r="349" spans="1:8" ht="42.75" customHeight="1">
      <c r="A349" s="1">
        <v>346</v>
      </c>
      <c r="B349" s="21" t="s">
        <v>344</v>
      </c>
      <c r="C349" s="1"/>
      <c r="D349" s="19" t="str">
        <f>D337</f>
        <v>بانک اقتصاد نوین</v>
      </c>
      <c r="E349" s="74" t="s">
        <v>379</v>
      </c>
      <c r="F349" s="73">
        <v>1000000000</v>
      </c>
      <c r="H349" s="20">
        <f>H348-Table13[[#This Row],[مبلغ خروج]]+Table13[[#This Row],[مبلغ ورود]]</f>
        <v>318707361</v>
      </c>
    </row>
    <row r="350" spans="1:8" ht="42.75" customHeight="1">
      <c r="A350" s="1">
        <v>347</v>
      </c>
      <c r="B350" s="21" t="s">
        <v>381</v>
      </c>
      <c r="C350" s="1"/>
      <c r="D350" s="19" t="str">
        <f>D338</f>
        <v>بانک اقتصاد نوین</v>
      </c>
      <c r="E350" s="74" t="s">
        <v>382</v>
      </c>
      <c r="F350" s="73">
        <v>7691000</v>
      </c>
      <c r="H350" s="20">
        <f>H349-Table13[[#This Row],[مبلغ خروج]]+Table13[[#This Row],[مبلغ ورود]]</f>
        <v>326398361</v>
      </c>
    </row>
    <row r="351" spans="1:8" ht="42.75" customHeight="1">
      <c r="A351" s="1">
        <v>348</v>
      </c>
      <c r="B351" s="21" t="s">
        <v>383</v>
      </c>
      <c r="C351" s="1"/>
      <c r="D351" s="19" t="str">
        <f>D339</f>
        <v>بانک اقتصاد نوین</v>
      </c>
      <c r="E351" s="74" t="s">
        <v>379</v>
      </c>
      <c r="F351" s="73">
        <v>1000000000</v>
      </c>
      <c r="H351" s="20">
        <f>H350-Table13[[#This Row],[مبلغ خروج]]+Table13[[#This Row],[مبلغ ورود]]</f>
        <v>1326398361</v>
      </c>
    </row>
    <row r="352" spans="1:8" ht="42.75" customHeight="1">
      <c r="A352" s="1">
        <v>349</v>
      </c>
      <c r="B352" s="21" t="s">
        <v>346</v>
      </c>
      <c r="C352" s="1"/>
      <c r="D352" s="19" t="str">
        <f>D340</f>
        <v>بانک اقتصاد نوین</v>
      </c>
      <c r="E352" s="74" t="s">
        <v>384</v>
      </c>
      <c r="F352" s="73">
        <v>8244000</v>
      </c>
      <c r="H352" s="20">
        <f>H351-Table13[[#This Row],[مبلغ خروج]]+Table13[[#This Row],[مبلغ ورود]]</f>
        <v>1334642361</v>
      </c>
    </row>
    <row r="353" spans="1:8" ht="42.75" customHeight="1">
      <c r="A353" s="1">
        <v>350</v>
      </c>
      <c r="B353" s="21" t="s">
        <v>346</v>
      </c>
      <c r="C353" s="1">
        <v>510346</v>
      </c>
      <c r="D353" s="19" t="str">
        <f>D338</f>
        <v>بانک اقتصاد نوین</v>
      </c>
      <c r="E353" s="74" t="s">
        <v>345</v>
      </c>
      <c r="F353" s="73">
        <v>0</v>
      </c>
      <c r="G353" s="20">
        <v>842102563</v>
      </c>
      <c r="H353" s="20">
        <f>H352-Table13[[#This Row],[مبلغ خروج]]+Table13[[#This Row],[مبلغ ورود]]</f>
        <v>492539798</v>
      </c>
    </row>
    <row r="354" spans="1:8" ht="42.75" customHeight="1">
      <c r="A354" s="1">
        <v>351</v>
      </c>
      <c r="B354" s="21" t="s">
        <v>346</v>
      </c>
      <c r="C354" s="1">
        <v>510347</v>
      </c>
      <c r="D354" s="19" t="str">
        <f>D338</f>
        <v>بانک اقتصاد نوین</v>
      </c>
      <c r="E354" s="74" t="s">
        <v>348</v>
      </c>
      <c r="F354" s="73">
        <v>0</v>
      </c>
      <c r="G354" s="20">
        <v>28350000</v>
      </c>
      <c r="H354" s="20">
        <f>H353-Table13[[#This Row],[مبلغ خروج]]+Table13[[#This Row],[مبلغ ورود]]</f>
        <v>464189798</v>
      </c>
    </row>
    <row r="355" spans="1:8" ht="42.75" customHeight="1">
      <c r="A355" s="1">
        <v>352</v>
      </c>
      <c r="B355" s="21" t="s">
        <v>346</v>
      </c>
      <c r="C355" s="1">
        <v>510348</v>
      </c>
      <c r="D355" s="19" t="str">
        <f>D340</f>
        <v>بانک اقتصاد نوین</v>
      </c>
      <c r="E355" s="74" t="s">
        <v>349</v>
      </c>
      <c r="F355" s="73">
        <v>0</v>
      </c>
      <c r="G355" s="20">
        <v>43600000</v>
      </c>
      <c r="H355" s="20">
        <f>H354-Table13[[#This Row],[مبلغ خروج]]+Table13[[#This Row],[مبلغ ورود]]</f>
        <v>420589798</v>
      </c>
    </row>
    <row r="356" spans="1:8" ht="42.75" customHeight="1">
      <c r="A356" s="1">
        <v>353</v>
      </c>
      <c r="B356" s="21" t="s">
        <v>385</v>
      </c>
      <c r="C356" s="1"/>
      <c r="D356" s="19" t="str">
        <f>D341</f>
        <v>بانک اقتصاد نوین</v>
      </c>
      <c r="E356" s="74" t="s">
        <v>379</v>
      </c>
      <c r="F356" s="73">
        <v>2000000000</v>
      </c>
      <c r="H356" s="20">
        <f>H355-Table13[[#This Row],[مبلغ خروج]]+Table13[[#This Row],[مبلغ ورود]]</f>
        <v>2420589798</v>
      </c>
    </row>
    <row r="357" spans="1:8" ht="42.75" customHeight="1">
      <c r="A357" s="1">
        <v>354</v>
      </c>
      <c r="B357" s="21"/>
      <c r="C357" s="1"/>
      <c r="E357" s="74" t="s">
        <v>384</v>
      </c>
      <c r="F357" s="73">
        <v>23106000</v>
      </c>
      <c r="H357" s="20">
        <f>H356-Table13[[#This Row],[مبلغ خروج]]+Table13[[#This Row],[مبلغ ورود]]</f>
        <v>2443695798</v>
      </c>
    </row>
    <row r="358" spans="1:8" ht="42.75" customHeight="1">
      <c r="A358" s="1">
        <v>355</v>
      </c>
      <c r="B358" s="21" t="s">
        <v>351</v>
      </c>
      <c r="C358" s="1">
        <v>510349</v>
      </c>
      <c r="D358" s="19" t="str">
        <f>D343</f>
        <v>بانک اقتصاد نوین</v>
      </c>
      <c r="E358" s="74" t="s">
        <v>162</v>
      </c>
      <c r="F358" s="73">
        <v>0</v>
      </c>
      <c r="G358" s="20">
        <v>1175180268</v>
      </c>
      <c r="H358" s="20">
        <f>H357-Table13[[#This Row],[مبلغ خروج]]+Table13[[#This Row],[مبلغ ورود]]</f>
        <v>1268515530</v>
      </c>
    </row>
    <row r="359" spans="1:8" ht="42.75" customHeight="1">
      <c r="A359" s="1">
        <v>356</v>
      </c>
      <c r="B359" s="21" t="s">
        <v>351</v>
      </c>
      <c r="C359" s="1">
        <v>510350</v>
      </c>
      <c r="D359" s="19" t="str">
        <f>D345</f>
        <v>بانک اقتصاد نوین</v>
      </c>
      <c r="E359" s="74" t="s">
        <v>350</v>
      </c>
      <c r="F359" s="73">
        <v>0</v>
      </c>
      <c r="G359" s="20">
        <v>429788167</v>
      </c>
      <c r="H359" s="20">
        <f>H358-Table13[[#This Row],[مبلغ خروج]]+Table13[[#This Row],[مبلغ ورود]]</f>
        <v>838727363</v>
      </c>
    </row>
    <row r="360" spans="1:8" ht="42.75" customHeight="1">
      <c r="A360" s="1">
        <v>357</v>
      </c>
      <c r="B360" s="21" t="s">
        <v>351</v>
      </c>
      <c r="C360" s="1">
        <v>399651</v>
      </c>
      <c r="D360" s="19" t="str">
        <f>D345</f>
        <v>بانک اقتصاد نوین</v>
      </c>
      <c r="E360" s="74" t="s">
        <v>328</v>
      </c>
      <c r="F360" s="73">
        <v>0</v>
      </c>
      <c r="G360" s="20">
        <v>15400000</v>
      </c>
      <c r="H360" s="20">
        <f>H359-Table13[[#This Row],[مبلغ خروج]]+Table13[[#This Row],[مبلغ ورود]]</f>
        <v>823327363</v>
      </c>
    </row>
    <row r="361" spans="1:8" ht="42.75" customHeight="1">
      <c r="A361" s="1">
        <v>358</v>
      </c>
      <c r="B361" s="21" t="s">
        <v>351</v>
      </c>
      <c r="C361" s="1">
        <v>399652</v>
      </c>
      <c r="D361" s="19" t="str">
        <f>D347</f>
        <v>بانک اقتصاد نوین</v>
      </c>
      <c r="E361" s="74" t="s">
        <v>322</v>
      </c>
      <c r="F361" s="73">
        <v>0</v>
      </c>
      <c r="G361" s="20">
        <v>30000000</v>
      </c>
      <c r="H361" s="20">
        <f>H360-Table13[[#This Row],[مبلغ خروج]]+Table13[[#This Row],[مبلغ ورود]]</f>
        <v>793327363</v>
      </c>
    </row>
    <row r="362" spans="1:8" ht="42.75" customHeight="1">
      <c r="A362" s="1">
        <v>359</v>
      </c>
      <c r="B362" s="21" t="s">
        <v>351</v>
      </c>
      <c r="C362" s="1">
        <v>399653</v>
      </c>
      <c r="D362" s="19" t="str">
        <f>D347</f>
        <v>بانک اقتصاد نوین</v>
      </c>
      <c r="E362" s="74" t="s">
        <v>354</v>
      </c>
      <c r="F362" s="73">
        <v>0</v>
      </c>
      <c r="G362" s="20">
        <v>35000000</v>
      </c>
      <c r="H362" s="20">
        <f>H361-Table13[[#This Row],[مبلغ خروج]]+Table13[[#This Row],[مبلغ ورود]]</f>
        <v>758327363</v>
      </c>
    </row>
    <row r="363" spans="1:8" ht="42.75" customHeight="1">
      <c r="A363" s="1">
        <v>360</v>
      </c>
      <c r="B363" s="21" t="s">
        <v>351</v>
      </c>
      <c r="C363" s="1">
        <v>399654</v>
      </c>
      <c r="D363" s="19" t="str">
        <f>D353</f>
        <v>بانک اقتصاد نوین</v>
      </c>
      <c r="E363" s="74" t="s">
        <v>355</v>
      </c>
      <c r="F363" s="73">
        <v>0</v>
      </c>
      <c r="G363" s="20">
        <v>90000000</v>
      </c>
      <c r="H363" s="20">
        <f>H362-Table13[[#This Row],[مبلغ خروج]]+Table13[[#This Row],[مبلغ ورود]]</f>
        <v>668327363</v>
      </c>
    </row>
    <row r="364" spans="1:8" ht="42.75" customHeight="1">
      <c r="A364" s="1">
        <v>361</v>
      </c>
      <c r="B364" s="21" t="s">
        <v>356</v>
      </c>
      <c r="C364" s="1">
        <v>399655</v>
      </c>
      <c r="D364" s="19" t="str">
        <f>D345</f>
        <v>بانک اقتصاد نوین</v>
      </c>
      <c r="E364" s="74" t="s">
        <v>352</v>
      </c>
      <c r="F364" s="73">
        <v>0</v>
      </c>
      <c r="G364" s="20">
        <f>130146000+335774500+4360000</f>
        <v>470280500</v>
      </c>
      <c r="H364" s="20">
        <f>H363-Table13[[#This Row],[مبلغ خروج]]+Table13[[#This Row],[مبلغ ورود]]</f>
        <v>198046863</v>
      </c>
    </row>
    <row r="365" spans="1:8" ht="42.75" customHeight="1">
      <c r="A365" s="1">
        <v>362</v>
      </c>
      <c r="B365" s="21" t="s">
        <v>356</v>
      </c>
      <c r="C365" s="1">
        <v>399656</v>
      </c>
      <c r="D365" s="19" t="str">
        <f>D355</f>
        <v>بانک اقتصاد نوین</v>
      </c>
      <c r="E365" s="74" t="s">
        <v>353</v>
      </c>
      <c r="F365" s="73">
        <v>0</v>
      </c>
      <c r="G365" s="20">
        <f>3700000+4000000+1800000</f>
        <v>9500000</v>
      </c>
      <c r="H365" s="20">
        <f>H364-Table13[[#This Row],[مبلغ خروج]]+Table13[[#This Row],[مبلغ ورود]]</f>
        <v>188546863</v>
      </c>
    </row>
    <row r="366" spans="1:8" ht="42.75" customHeight="1">
      <c r="A366" s="1">
        <v>363</v>
      </c>
      <c r="B366" s="21" t="s">
        <v>357</v>
      </c>
      <c r="C366" s="1"/>
      <c r="D366" s="19" t="str">
        <f>D356</f>
        <v>بانک اقتصاد نوین</v>
      </c>
      <c r="E366" s="74" t="s">
        <v>378</v>
      </c>
      <c r="F366" s="73">
        <v>2834019</v>
      </c>
      <c r="H366" s="20">
        <f>H365-Table13[[#This Row],[مبلغ خروج]]+Table13[[#This Row],[مبلغ ورود]]</f>
        <v>191380882</v>
      </c>
    </row>
    <row r="367" spans="1:8" ht="42.75" customHeight="1">
      <c r="A367" s="1">
        <v>364</v>
      </c>
      <c r="B367" s="21" t="s">
        <v>357</v>
      </c>
      <c r="C367" s="1">
        <v>399657</v>
      </c>
      <c r="D367" s="19" t="str">
        <f t="shared" ref="D367:D372" si="7">D358</f>
        <v>بانک اقتصاد نوین</v>
      </c>
      <c r="E367" s="74" t="s">
        <v>316</v>
      </c>
      <c r="F367" s="73">
        <v>0</v>
      </c>
      <c r="G367" s="20">
        <v>100000000</v>
      </c>
      <c r="H367" s="20">
        <f>H366-Table13[[#This Row],[مبلغ خروج]]+Table13[[#This Row],[مبلغ ورود]]</f>
        <v>91380882</v>
      </c>
    </row>
    <row r="368" spans="1:8" ht="42.75" customHeight="1">
      <c r="A368" s="1">
        <v>365</v>
      </c>
      <c r="B368" s="21" t="s">
        <v>357</v>
      </c>
      <c r="C368" s="1">
        <v>399658</v>
      </c>
      <c r="D368" s="19" t="str">
        <f t="shared" si="7"/>
        <v>بانک اقتصاد نوین</v>
      </c>
      <c r="E368" s="74" t="s">
        <v>358</v>
      </c>
      <c r="F368" s="73">
        <v>0</v>
      </c>
      <c r="G368" s="20">
        <v>16000000</v>
      </c>
      <c r="H368" s="20">
        <f>H367-Table13[[#This Row],[مبلغ خروج]]+Table13[[#This Row],[مبلغ ورود]]</f>
        <v>75380882</v>
      </c>
    </row>
    <row r="369" spans="1:8" ht="42.75" customHeight="1">
      <c r="A369" s="1">
        <v>366</v>
      </c>
      <c r="B369" s="21" t="s">
        <v>357</v>
      </c>
      <c r="C369" s="1">
        <v>399659</v>
      </c>
      <c r="D369" s="19" t="str">
        <f t="shared" si="7"/>
        <v>بانک اقتصاد نوین</v>
      </c>
      <c r="E369" s="74" t="s">
        <v>359</v>
      </c>
      <c r="F369" s="73">
        <v>0</v>
      </c>
      <c r="G369" s="20">
        <v>43055000</v>
      </c>
      <c r="H369" s="20">
        <f>H368-Table13[[#This Row],[مبلغ خروج]]+Table13[[#This Row],[مبلغ ورود]]</f>
        <v>32325882</v>
      </c>
    </row>
    <row r="370" spans="1:8" ht="42.75" customHeight="1">
      <c r="A370" s="1">
        <v>367</v>
      </c>
      <c r="B370" s="21" t="s">
        <v>357</v>
      </c>
      <c r="C370" s="1">
        <v>399660</v>
      </c>
      <c r="D370" s="19" t="str">
        <f t="shared" si="7"/>
        <v>بانک اقتصاد نوین</v>
      </c>
      <c r="E370" s="74" t="s">
        <v>360</v>
      </c>
      <c r="F370" s="73">
        <v>0</v>
      </c>
      <c r="G370" s="20">
        <v>38116558</v>
      </c>
      <c r="H370" s="20">
        <f>H369-Table13[[#This Row],[مبلغ خروج]]+Table13[[#This Row],[مبلغ ورود]]</f>
        <v>-5790676</v>
      </c>
    </row>
    <row r="371" spans="1:8" ht="42.75" customHeight="1">
      <c r="A371" s="1">
        <v>368</v>
      </c>
      <c r="B371" s="21" t="s">
        <v>357</v>
      </c>
      <c r="C371" s="1">
        <v>399661</v>
      </c>
      <c r="D371" s="19" t="str">
        <f t="shared" si="7"/>
        <v>بانک اقتصاد نوین</v>
      </c>
      <c r="E371" s="74" t="s">
        <v>361</v>
      </c>
      <c r="F371" s="73">
        <v>0</v>
      </c>
      <c r="G371" s="20">
        <v>19660000</v>
      </c>
      <c r="H371" s="20">
        <f>H370-Table13[[#This Row],[مبلغ خروج]]+Table13[[#This Row],[مبلغ ورود]]</f>
        <v>-25450676</v>
      </c>
    </row>
    <row r="372" spans="1:8" ht="42.75" customHeight="1">
      <c r="A372" s="1">
        <v>369</v>
      </c>
      <c r="B372" s="21" t="s">
        <v>386</v>
      </c>
      <c r="C372" s="1"/>
      <c r="D372" s="19" t="str">
        <f t="shared" si="7"/>
        <v>بانک اقتصاد نوین</v>
      </c>
      <c r="E372" s="74" t="s">
        <v>379</v>
      </c>
      <c r="F372" s="73">
        <v>700000000</v>
      </c>
      <c r="H372" s="20">
        <f>H371-Table13[[#This Row],[مبلغ خروج]]+Table13[[#This Row],[مبلغ ورود]]</f>
        <v>674549324</v>
      </c>
    </row>
    <row r="373" spans="1:8" ht="42.75" customHeight="1">
      <c r="A373" s="1">
        <v>370</v>
      </c>
      <c r="B373" s="21" t="s">
        <v>363</v>
      </c>
      <c r="C373" s="1"/>
      <c r="E373" s="74" t="s">
        <v>378</v>
      </c>
      <c r="F373" s="73">
        <v>10749900</v>
      </c>
      <c r="H373" s="20">
        <f>H372-Table13[[#This Row],[مبلغ خروج]]+Table13[[#This Row],[مبلغ ورود]]</f>
        <v>685299224</v>
      </c>
    </row>
    <row r="374" spans="1:8" ht="42.75" customHeight="1">
      <c r="A374" s="1">
        <v>371</v>
      </c>
      <c r="B374" s="21" t="s">
        <v>363</v>
      </c>
      <c r="C374" s="1">
        <v>399662</v>
      </c>
      <c r="D374" s="19" t="str">
        <f>D363</f>
        <v>بانک اقتصاد نوین</v>
      </c>
      <c r="E374" s="74" t="s">
        <v>362</v>
      </c>
      <c r="F374" s="73">
        <v>0</v>
      </c>
      <c r="G374" s="20">
        <v>612800000</v>
      </c>
      <c r="H374" s="20">
        <f>H373-Table13[[#This Row],[مبلغ خروج]]+Table13[[#This Row],[مبلغ ورود]]</f>
        <v>72499224</v>
      </c>
    </row>
    <row r="375" spans="1:8" ht="42.75" customHeight="1">
      <c r="A375" s="1">
        <v>372</v>
      </c>
      <c r="B375" s="21" t="s">
        <v>363</v>
      </c>
      <c r="C375" s="1">
        <v>399663</v>
      </c>
      <c r="D375" s="19" t="str">
        <f>D364</f>
        <v>بانک اقتصاد نوین</v>
      </c>
      <c r="E375" s="74" t="s">
        <v>364</v>
      </c>
      <c r="F375" s="73">
        <v>0</v>
      </c>
      <c r="G375" s="20">
        <v>37800000</v>
      </c>
      <c r="H375" s="20">
        <f>H374-Table13[[#This Row],[مبلغ خروج]]+Table13[[#This Row],[مبلغ ورود]]</f>
        <v>34699224</v>
      </c>
    </row>
    <row r="376" spans="1:8" ht="42.75" customHeight="1">
      <c r="A376" s="1">
        <v>373</v>
      </c>
      <c r="B376" s="21" t="s">
        <v>387</v>
      </c>
      <c r="C376" s="1"/>
      <c r="D376" s="19" t="str">
        <f>D365</f>
        <v>بانک اقتصاد نوین</v>
      </c>
      <c r="E376" s="74" t="s">
        <v>378</v>
      </c>
      <c r="F376" s="73">
        <v>298806345</v>
      </c>
      <c r="H376" s="20">
        <f>H375-Table13[[#This Row],[مبلغ خروج]]+Table13[[#This Row],[مبلغ ورود]]</f>
        <v>333505569</v>
      </c>
    </row>
    <row r="377" spans="1:8" ht="42.75" customHeight="1">
      <c r="A377" s="1">
        <v>374</v>
      </c>
      <c r="B377" s="21" t="s">
        <v>388</v>
      </c>
      <c r="C377" s="1"/>
      <c r="D377" s="19" t="str">
        <f>D366</f>
        <v>بانک اقتصاد نوین</v>
      </c>
      <c r="E377" s="74" t="s">
        <v>379</v>
      </c>
      <c r="F377" s="73">
        <v>1300000000</v>
      </c>
      <c r="H377" s="20">
        <f>H376-Table13[[#This Row],[مبلغ خروج]]+Table13[[#This Row],[مبلغ ورود]]</f>
        <v>1633505569</v>
      </c>
    </row>
    <row r="378" spans="1:8" ht="42.75" customHeight="1">
      <c r="A378" s="1">
        <v>375</v>
      </c>
      <c r="B378" s="21"/>
      <c r="C378" s="1"/>
      <c r="E378" s="74" t="s">
        <v>379</v>
      </c>
      <c r="F378" s="73">
        <v>16859000000</v>
      </c>
      <c r="H378" s="20">
        <f>H377-Table13[[#This Row],[مبلغ خروج]]+Table13[[#This Row],[مبلغ ورود]]</f>
        <v>18492505569</v>
      </c>
    </row>
    <row r="379" spans="1:8" ht="42.75" customHeight="1">
      <c r="A379" s="1">
        <v>376</v>
      </c>
      <c r="B379" s="21" t="s">
        <v>365</v>
      </c>
      <c r="C379" s="1"/>
      <c r="E379" s="74" t="s">
        <v>378</v>
      </c>
      <c r="F379" s="73">
        <v>5397600</v>
      </c>
      <c r="H379" s="20">
        <f>H378-Table13[[#This Row],[مبلغ خروج]]+Table13[[#This Row],[مبلغ ورود]]</f>
        <v>18497903169</v>
      </c>
    </row>
    <row r="380" spans="1:8" ht="42.75" customHeight="1">
      <c r="A380" s="1">
        <v>377</v>
      </c>
      <c r="B380" s="21" t="s">
        <v>365</v>
      </c>
      <c r="C380" s="1">
        <v>399664</v>
      </c>
      <c r="D380" s="19" t="str">
        <f>D365</f>
        <v>بانک اقتصاد نوین</v>
      </c>
      <c r="E380" s="74" t="s">
        <v>296</v>
      </c>
      <c r="F380" s="73">
        <v>0</v>
      </c>
      <c r="G380" s="20">
        <v>650000000</v>
      </c>
      <c r="H380" s="20">
        <f>H379-Table13[[#This Row],[مبلغ خروج]]+Table13[[#This Row],[مبلغ ورود]]</f>
        <v>17847903169</v>
      </c>
    </row>
    <row r="381" spans="1:8" ht="42.75" customHeight="1">
      <c r="A381" s="1">
        <v>378</v>
      </c>
      <c r="B381" s="21" t="s">
        <v>365</v>
      </c>
      <c r="C381" s="1">
        <v>399665</v>
      </c>
      <c r="D381" s="19" t="str">
        <f>D367</f>
        <v>بانک اقتصاد نوین</v>
      </c>
      <c r="E381" s="74" t="s">
        <v>322</v>
      </c>
      <c r="F381" s="73">
        <v>0</v>
      </c>
      <c r="G381" s="20">
        <v>30000000</v>
      </c>
      <c r="H381" s="20">
        <f>H380-Table13[[#This Row],[مبلغ خروج]]+Table13[[#This Row],[مبلغ ورود]]</f>
        <v>17817903169</v>
      </c>
    </row>
    <row r="382" spans="1:8" ht="42.75" customHeight="1">
      <c r="A382" s="1">
        <v>379</v>
      </c>
      <c r="B382" s="21" t="s">
        <v>366</v>
      </c>
      <c r="C382" s="1">
        <v>399666</v>
      </c>
      <c r="D382" s="19" t="str">
        <f>D369</f>
        <v>بانک اقتصاد نوین</v>
      </c>
      <c r="E382" s="74" t="s">
        <v>367</v>
      </c>
      <c r="F382" s="73">
        <v>0</v>
      </c>
      <c r="G382" s="20">
        <v>91560000</v>
      </c>
      <c r="H382" s="20">
        <f>H381-Table13[[#This Row],[مبلغ خروج]]+Table13[[#This Row],[مبلغ ورود]]</f>
        <v>17726343169</v>
      </c>
    </row>
    <row r="383" spans="1:8" ht="42.75" customHeight="1">
      <c r="A383" s="1">
        <v>380</v>
      </c>
      <c r="B383" s="21" t="s">
        <v>365</v>
      </c>
      <c r="C383" s="1">
        <v>399667</v>
      </c>
      <c r="D383" s="19" t="str">
        <f>D370</f>
        <v>بانک اقتصاد نوین</v>
      </c>
      <c r="E383" s="74" t="s">
        <v>368</v>
      </c>
      <c r="F383" s="73">
        <v>0</v>
      </c>
      <c r="G383" s="20">
        <v>28700000</v>
      </c>
      <c r="H383" s="20">
        <f>H382-Table13[[#This Row],[مبلغ خروج]]+Table13[[#This Row],[مبلغ ورود]]</f>
        <v>17697643169</v>
      </c>
    </row>
    <row r="384" spans="1:8" ht="42.75" customHeight="1">
      <c r="A384" s="1">
        <v>381</v>
      </c>
      <c r="B384" s="21" t="s">
        <v>370</v>
      </c>
      <c r="C384" s="1">
        <v>399669</v>
      </c>
      <c r="D384" s="19" t="str">
        <f>D368</f>
        <v>بانک اقتصاد نوین</v>
      </c>
      <c r="E384" s="74" t="s">
        <v>369</v>
      </c>
      <c r="F384" s="73">
        <v>0</v>
      </c>
      <c r="G384" s="20">
        <v>130000000</v>
      </c>
      <c r="H384" s="20">
        <f>H383-Table13[[#This Row],[مبلغ خروج]]+Table13[[#This Row],[مبلغ ورود]]</f>
        <v>17567643169</v>
      </c>
    </row>
    <row r="385" spans="1:8" ht="42.75" customHeight="1">
      <c r="A385" s="1">
        <v>382</v>
      </c>
      <c r="B385" s="21" t="s">
        <v>366</v>
      </c>
      <c r="C385" s="1">
        <v>399670</v>
      </c>
      <c r="D385" s="19" t="str">
        <f>D374</f>
        <v>بانک اقتصاد نوین</v>
      </c>
      <c r="E385" s="74" t="s">
        <v>371</v>
      </c>
      <c r="F385" s="73">
        <v>0</v>
      </c>
      <c r="G385" s="20">
        <v>117229500</v>
      </c>
      <c r="H385" s="20">
        <f>H384-Table13[[#This Row],[مبلغ خروج]]+Table13[[#This Row],[مبلغ ورود]]</f>
        <v>17450413669</v>
      </c>
    </row>
    <row r="386" spans="1:8" ht="42.75" customHeight="1">
      <c r="A386" s="1">
        <v>383</v>
      </c>
      <c r="B386" s="21" t="s">
        <v>372</v>
      </c>
      <c r="C386" s="1">
        <v>399671</v>
      </c>
      <c r="D386" s="19" t="str">
        <f>D370</f>
        <v>بانک اقتصاد نوین</v>
      </c>
      <c r="E386" s="74" t="s">
        <v>373</v>
      </c>
      <c r="F386" s="73">
        <v>0</v>
      </c>
      <c r="G386" s="20">
        <v>21000000</v>
      </c>
      <c r="H386" s="20">
        <f>H385-Table13[[#This Row],[مبلغ خروج]]+Table13[[#This Row],[مبلغ ورود]]</f>
        <v>17429413669</v>
      </c>
    </row>
    <row r="387" spans="1:8" ht="42.75" customHeight="1">
      <c r="A387" s="1">
        <v>384</v>
      </c>
      <c r="B387" s="21" t="s">
        <v>372</v>
      </c>
      <c r="C387" s="1">
        <v>399672</v>
      </c>
      <c r="D387" s="19" t="str">
        <f>D371</f>
        <v>بانک اقتصاد نوین</v>
      </c>
      <c r="E387" s="74" t="s">
        <v>374</v>
      </c>
      <c r="F387" s="73">
        <v>0</v>
      </c>
      <c r="G387" s="20">
        <v>20550000</v>
      </c>
      <c r="H387" s="20">
        <f>H386-Table13[[#This Row],[مبلغ خروج]]+Table13[[#This Row],[مبلغ ورود]]</f>
        <v>17408863669</v>
      </c>
    </row>
    <row r="388" spans="1:8" ht="42.75" customHeight="1">
      <c r="A388" s="1">
        <v>385</v>
      </c>
      <c r="B388" s="21" t="s">
        <v>372</v>
      </c>
      <c r="C388" s="1">
        <v>399673</v>
      </c>
      <c r="D388" s="19" t="str">
        <f t="shared" ref="D388:D393" si="8">D372</f>
        <v>بانک اقتصاد نوین</v>
      </c>
      <c r="E388" s="74" t="s">
        <v>390</v>
      </c>
      <c r="F388" s="73">
        <v>0</v>
      </c>
      <c r="G388" s="20">
        <v>17000000000</v>
      </c>
      <c r="H388" s="20">
        <f>H387-Table13[[#This Row],[مبلغ خروج]]+Table13[[#This Row],[مبلغ ورود]]</f>
        <v>408863669</v>
      </c>
    </row>
    <row r="389" spans="1:8" ht="42.75" customHeight="1">
      <c r="A389" s="1">
        <v>386</v>
      </c>
      <c r="B389" s="21" t="s">
        <v>392</v>
      </c>
      <c r="C389" s="1">
        <v>399674</v>
      </c>
      <c r="D389" s="19" t="str">
        <f>D388</f>
        <v>بانک اقتصاد نوین</v>
      </c>
      <c r="E389" s="74" t="s">
        <v>322</v>
      </c>
      <c r="G389" s="20">
        <v>30000000</v>
      </c>
      <c r="H389" s="20">
        <f>H388-Table13[[#This Row],[مبلغ خروج]]+Table13[[#This Row],[مبلغ ورود]]</f>
        <v>378863669</v>
      </c>
    </row>
    <row r="390" spans="1:8" ht="42.75" customHeight="1">
      <c r="A390" s="1">
        <v>387</v>
      </c>
      <c r="B390" s="21" t="s">
        <v>392</v>
      </c>
      <c r="C390" s="1">
        <v>399675</v>
      </c>
      <c r="D390" s="19" t="str">
        <f t="shared" si="8"/>
        <v>بانک اقتصاد نوین</v>
      </c>
      <c r="E390" s="74" t="s">
        <v>316</v>
      </c>
      <c r="G390" s="20">
        <v>50000000</v>
      </c>
      <c r="H390" s="20">
        <f>H389-Table13[[#This Row],[مبلغ خروج]]+Table13[[#This Row],[مبلغ ورود]]</f>
        <v>328863669</v>
      </c>
    </row>
    <row r="391" spans="1:8" ht="42.75" customHeight="1">
      <c r="A391" s="1">
        <v>388</v>
      </c>
      <c r="B391" s="21" t="s">
        <v>397</v>
      </c>
      <c r="C391" s="1">
        <v>399676</v>
      </c>
      <c r="D391" s="19" t="str">
        <f t="shared" si="8"/>
        <v>بانک اقتصاد نوین</v>
      </c>
      <c r="E391" s="74" t="s">
        <v>183</v>
      </c>
      <c r="G391" s="20">
        <v>1238163781</v>
      </c>
      <c r="H391" s="20">
        <f>H390-Table13[[#This Row],[مبلغ خروج]]+Table13[[#This Row],[مبلغ ورود]]</f>
        <v>-909300112</v>
      </c>
    </row>
    <row r="392" spans="1:8" ht="42.75" customHeight="1">
      <c r="A392" s="1">
        <v>389</v>
      </c>
      <c r="B392" s="21" t="s">
        <v>397</v>
      </c>
      <c r="C392" s="1">
        <v>399677</v>
      </c>
      <c r="D392" s="19" t="str">
        <f t="shared" si="8"/>
        <v>بانک اقتصاد نوین</v>
      </c>
      <c r="E392" s="74" t="s">
        <v>350</v>
      </c>
      <c r="G392" s="20">
        <v>690964437</v>
      </c>
      <c r="H392" s="20">
        <f>H391-Table13[[#This Row],[مبلغ خروج]]+Table13[[#This Row],[مبلغ ورود]]</f>
        <v>-1600264549</v>
      </c>
    </row>
    <row r="393" spans="1:8" ht="42.75" customHeight="1">
      <c r="A393" s="1">
        <v>390</v>
      </c>
      <c r="B393" s="21" t="s">
        <v>397</v>
      </c>
      <c r="C393" s="1">
        <v>399678</v>
      </c>
      <c r="D393" s="19" t="str">
        <f t="shared" si="8"/>
        <v>بانک اقتصاد نوین</v>
      </c>
      <c r="E393" s="74" t="s">
        <v>394</v>
      </c>
      <c r="G393" s="20">
        <v>5000000</v>
      </c>
      <c r="H393" s="20">
        <f>H392-Table13[[#This Row],[مبلغ خروج]]+Table13[[#This Row],[مبلغ ورود]]</f>
        <v>-1605264549</v>
      </c>
    </row>
    <row r="394" spans="1:8" ht="42.75" customHeight="1">
      <c r="A394" s="1">
        <v>391</v>
      </c>
      <c r="B394" s="21" t="s">
        <v>395</v>
      </c>
      <c r="C394" s="1">
        <v>399679</v>
      </c>
      <c r="D394" s="19" t="str">
        <f>D393</f>
        <v>بانک اقتصاد نوین</v>
      </c>
      <c r="E394" s="74" t="s">
        <v>389</v>
      </c>
      <c r="F394" s="73">
        <v>0</v>
      </c>
      <c r="G394" s="20">
        <v>112978600</v>
      </c>
      <c r="H394" s="20">
        <f>H393-Table13[[#This Row],[مبلغ خروج]]+Table13[[#This Row],[مبلغ ورود]]</f>
        <v>-1718243149</v>
      </c>
    </row>
    <row r="395" spans="1:8" ht="42.75" customHeight="1">
      <c r="A395" s="1">
        <v>392</v>
      </c>
      <c r="B395" s="21" t="s">
        <v>395</v>
      </c>
      <c r="C395" s="1">
        <v>399680</v>
      </c>
      <c r="D395" s="19" t="str">
        <f>D375</f>
        <v>بانک اقتصاد نوین</v>
      </c>
      <c r="E395" s="74" t="s">
        <v>393</v>
      </c>
      <c r="F395" s="73">
        <v>0</v>
      </c>
      <c r="G395" s="20">
        <v>1019371492</v>
      </c>
      <c r="H395" s="20">
        <f>H394-Table13[[#This Row],[مبلغ خروج]]+Table13[[#This Row],[مبلغ ورود]]</f>
        <v>-2737614641</v>
      </c>
    </row>
    <row r="396" spans="1:8" ht="42.75" customHeight="1">
      <c r="A396" s="1">
        <v>393</v>
      </c>
      <c r="B396" s="21" t="s">
        <v>404</v>
      </c>
      <c r="C396" s="1"/>
      <c r="D396" s="19" t="str">
        <f>D380</f>
        <v>بانک اقتصاد نوین</v>
      </c>
      <c r="E396" s="74" t="s">
        <v>405</v>
      </c>
      <c r="F396" s="73">
        <v>12000000000</v>
      </c>
      <c r="G396" s="75"/>
      <c r="H396" s="20">
        <f>H395-Table13[[#This Row],[مبلغ خروج]]+Table13[[#This Row],[مبلغ ورود]]</f>
        <v>9262385359</v>
      </c>
    </row>
    <row r="397" spans="1:8" ht="42.75" customHeight="1">
      <c r="A397" s="1">
        <v>394</v>
      </c>
      <c r="B397" s="21"/>
      <c r="C397" s="1"/>
      <c r="D397" s="19" t="str">
        <f>D396</f>
        <v>بانک اقتصاد نوین</v>
      </c>
      <c r="E397" s="74" t="s">
        <v>175</v>
      </c>
      <c r="F397" s="73">
        <v>599109</v>
      </c>
      <c r="G397" s="75"/>
      <c r="H397" s="20">
        <f>H396-Table13[[#This Row],[مبلغ خروج]]+Table13[[#This Row],[مبلغ ورود]]</f>
        <v>9262984468</v>
      </c>
    </row>
    <row r="398" spans="1:8" ht="42.75" customHeight="1">
      <c r="A398" s="1">
        <v>395</v>
      </c>
      <c r="B398" s="21" t="s">
        <v>398</v>
      </c>
      <c r="C398" s="1">
        <v>399681</v>
      </c>
      <c r="D398" s="19" t="str">
        <f>D397</f>
        <v>بانک اقتصاد نوین</v>
      </c>
      <c r="E398" s="74" t="s">
        <v>396</v>
      </c>
      <c r="F398" s="73">
        <v>0</v>
      </c>
      <c r="G398" s="20">
        <v>21364000</v>
      </c>
      <c r="H398" s="20">
        <f>H397-Table13[[#This Row],[مبلغ خروج]]+Table13[[#This Row],[مبلغ ورود]]</f>
        <v>9241620468</v>
      </c>
    </row>
    <row r="399" spans="1:8" ht="42.75" customHeight="1">
      <c r="A399" s="1">
        <v>396</v>
      </c>
      <c r="B399" s="21" t="s">
        <v>398</v>
      </c>
      <c r="C399" s="1">
        <v>399682</v>
      </c>
      <c r="D399" s="19" t="str">
        <f>D383</f>
        <v>بانک اقتصاد نوین</v>
      </c>
      <c r="E399" s="74" t="s">
        <v>328</v>
      </c>
      <c r="G399" s="20">
        <v>35200000</v>
      </c>
      <c r="H399" s="20">
        <f>H398-Table13[[#This Row],[مبلغ خروج]]+Table13[[#This Row],[مبلغ ورود]]</f>
        <v>9206420468</v>
      </c>
    </row>
    <row r="400" spans="1:8" ht="42.75" customHeight="1">
      <c r="A400" s="1">
        <v>397</v>
      </c>
      <c r="B400" s="21" t="s">
        <v>398</v>
      </c>
      <c r="C400" s="1">
        <v>399683</v>
      </c>
      <c r="D400" s="19" t="str">
        <f>D399</f>
        <v>بانک اقتصاد نوین</v>
      </c>
      <c r="E400" s="74" t="s">
        <v>409</v>
      </c>
      <c r="G400" s="20">
        <v>2100000000</v>
      </c>
      <c r="H400" s="20">
        <f>H399-Table13[[#This Row],[مبلغ خروج]]+Table13[[#This Row],[مبلغ ورود]]</f>
        <v>7106420468</v>
      </c>
    </row>
    <row r="401" spans="1:8" ht="42.75" customHeight="1">
      <c r="A401" s="1">
        <v>398</v>
      </c>
      <c r="B401" s="21"/>
      <c r="C401" s="1"/>
      <c r="D401" s="19" t="str">
        <f>D381</f>
        <v>بانک اقتصاد نوین</v>
      </c>
      <c r="E401" s="74" t="s">
        <v>408</v>
      </c>
      <c r="F401" s="73">
        <v>2100000000</v>
      </c>
      <c r="G401" s="75"/>
      <c r="H401" s="20">
        <f>H400-Table13[[#This Row],[مبلغ خروج]]+Table13[[#This Row],[مبلغ ورود]]</f>
        <v>9206420468</v>
      </c>
    </row>
    <row r="402" spans="1:8" ht="42.75" customHeight="1">
      <c r="A402" s="1">
        <v>399</v>
      </c>
      <c r="B402" s="21" t="s">
        <v>398</v>
      </c>
      <c r="C402" s="1"/>
      <c r="D402" s="19" t="str">
        <f>D386</f>
        <v>بانک اقتصاد نوین</v>
      </c>
      <c r="E402" s="74" t="s">
        <v>406</v>
      </c>
      <c r="F402" s="73">
        <v>3500000000</v>
      </c>
      <c r="G402" s="75"/>
      <c r="H402" s="20">
        <f>H401-Table13[[#This Row],[مبلغ خروج]]+Table13[[#This Row],[مبلغ ورود]]</f>
        <v>12706420468</v>
      </c>
    </row>
    <row r="403" spans="1:8" ht="42.75" customHeight="1">
      <c r="A403" s="1">
        <v>400</v>
      </c>
      <c r="B403" s="21" t="s">
        <v>399</v>
      </c>
      <c r="C403" s="1">
        <v>3996844</v>
      </c>
      <c r="D403" s="19" t="str">
        <f>D402</f>
        <v>بانک اقتصاد نوین</v>
      </c>
      <c r="E403" s="74" t="s">
        <v>339</v>
      </c>
      <c r="G403" s="20">
        <v>19112000</v>
      </c>
      <c r="H403" s="20">
        <f>H402-Table13[[#This Row],[مبلغ خروج]]+Table13[[#This Row],[مبلغ ورود]]</f>
        <v>12687308468</v>
      </c>
    </row>
    <row r="404" spans="1:8" ht="42.75" customHeight="1">
      <c r="A404" s="1">
        <v>401</v>
      </c>
      <c r="B404" s="21" t="s">
        <v>399</v>
      </c>
      <c r="C404" s="1">
        <v>399685</v>
      </c>
      <c r="D404" s="19" t="str">
        <f>D384</f>
        <v>بانک اقتصاد نوین</v>
      </c>
      <c r="E404" s="74" t="s">
        <v>322</v>
      </c>
      <c r="G404" s="20">
        <v>50000000</v>
      </c>
      <c r="H404" s="20">
        <f>H403-Table13[[#This Row],[مبلغ خروج]]+Table13[[#This Row],[مبلغ ورود]]</f>
        <v>12637308468</v>
      </c>
    </row>
    <row r="405" spans="1:8" ht="42.75" customHeight="1">
      <c r="A405" s="1">
        <v>402</v>
      </c>
      <c r="B405" s="21" t="s">
        <v>399</v>
      </c>
      <c r="C405" s="1">
        <v>399686</v>
      </c>
      <c r="D405" s="19" t="str">
        <f>D389</f>
        <v>بانک اقتصاد نوین</v>
      </c>
      <c r="E405" s="74" t="s">
        <v>316</v>
      </c>
      <c r="G405" s="20">
        <v>30000000</v>
      </c>
      <c r="H405" s="20">
        <f>H404-Table13[[#This Row],[مبلغ خروج]]+Table13[[#This Row],[مبلغ ورود]]</f>
        <v>12607308468</v>
      </c>
    </row>
    <row r="406" spans="1:8" ht="42.75" customHeight="1">
      <c r="A406" s="1">
        <v>403</v>
      </c>
      <c r="B406" s="21" t="s">
        <v>400</v>
      </c>
      <c r="C406" s="1">
        <v>399687</v>
      </c>
      <c r="D406" s="19" t="str">
        <f>D387</f>
        <v>بانک اقتصاد نوین</v>
      </c>
      <c r="E406" s="74" t="s">
        <v>408</v>
      </c>
      <c r="G406" s="20">
        <v>1000000000</v>
      </c>
      <c r="H406" s="20">
        <f>H405-Table13[[#This Row],[مبلغ خروج]]+Table13[[#This Row],[مبلغ ورود]]</f>
        <v>11607308468</v>
      </c>
    </row>
    <row r="407" spans="1:8" ht="42.75" customHeight="1">
      <c r="A407" s="1">
        <v>404</v>
      </c>
      <c r="B407" s="21" t="s">
        <v>401</v>
      </c>
      <c r="C407" s="1">
        <v>399689</v>
      </c>
      <c r="D407" s="19" t="str">
        <f>D392</f>
        <v>بانک اقتصاد نوین</v>
      </c>
      <c r="E407" s="74" t="s">
        <v>181</v>
      </c>
      <c r="G407" s="20">
        <v>848360810</v>
      </c>
      <c r="H407" s="20">
        <f>H406-Table13[[#This Row],[مبلغ خروج]]+Table13[[#This Row],[مبلغ ورود]]</f>
        <v>10758947658</v>
      </c>
    </row>
    <row r="408" spans="1:8" ht="42.75" customHeight="1">
      <c r="A408" s="1">
        <v>405</v>
      </c>
      <c r="B408" s="21" t="s">
        <v>401</v>
      </c>
      <c r="C408" s="1">
        <v>399690</v>
      </c>
      <c r="D408" s="19" t="str">
        <f>D407</f>
        <v>بانک اقتصاد نوین</v>
      </c>
      <c r="E408" s="74" t="s">
        <v>407</v>
      </c>
      <c r="H408" s="20">
        <f>H407-Table13[[#This Row],[مبلغ خروج]]+Table13[[#This Row],[مبلغ ورود]]</f>
        <v>10758947658</v>
      </c>
    </row>
    <row r="409" spans="1:8" ht="42.75" customHeight="1">
      <c r="A409" s="1">
        <v>406</v>
      </c>
      <c r="B409" s="21" t="s">
        <v>401</v>
      </c>
      <c r="C409" s="1">
        <v>399691</v>
      </c>
      <c r="D409" s="19" t="str">
        <f>D390</f>
        <v>بانک اقتصاد نوین</v>
      </c>
      <c r="E409" s="74" t="s">
        <v>402</v>
      </c>
      <c r="G409" s="20">
        <v>20000000000</v>
      </c>
      <c r="H409" s="20">
        <f>H408-Table13[[#This Row],[مبلغ خروج]]+Table13[[#This Row],[مبلغ ورود]]</f>
        <v>-9241052342</v>
      </c>
    </row>
    <row r="410" spans="1:8" ht="42.75" customHeight="1">
      <c r="A410" s="1">
        <v>407</v>
      </c>
      <c r="B410" s="21" t="s">
        <v>403</v>
      </c>
      <c r="C410" s="1">
        <v>399692</v>
      </c>
      <c r="D410" s="19" t="str">
        <f>D395</f>
        <v>بانک اقتصاد نوین</v>
      </c>
      <c r="E410" s="74" t="s">
        <v>296</v>
      </c>
      <c r="G410" s="20">
        <v>180000000</v>
      </c>
      <c r="H410" s="20">
        <f>H409-Table13[[#This Row],[مبلغ خروج]]+Table13[[#This Row],[مبلغ ورود]]</f>
        <v>-9421052342</v>
      </c>
    </row>
    <row r="411" spans="1:8" ht="42.75" customHeight="1">
      <c r="A411" s="1">
        <v>408</v>
      </c>
      <c r="B411" s="21" t="s">
        <v>403</v>
      </c>
      <c r="C411" s="1">
        <v>399693</v>
      </c>
      <c r="D411" s="19" t="str">
        <f>D410</f>
        <v>بانک اقتصاد نوین</v>
      </c>
      <c r="E411" s="74" t="s">
        <v>255</v>
      </c>
      <c r="G411" s="20">
        <v>48000000000</v>
      </c>
      <c r="H411" s="20">
        <f>H410-Table13[[#This Row],[مبلغ خروج]]+Table13[[#This Row],[مبلغ ورود]]</f>
        <v>-57421052342</v>
      </c>
    </row>
    <row r="412" spans="1:8" ht="42.75" customHeight="1">
      <c r="A412" s="1">
        <v>409</v>
      </c>
      <c r="B412" s="21" t="s">
        <v>403</v>
      </c>
      <c r="C412" s="1">
        <v>399695</v>
      </c>
      <c r="D412" s="19" t="str">
        <f>D411</f>
        <v>بانک اقتصاد نوین</v>
      </c>
      <c r="E412" s="74" t="s">
        <v>410</v>
      </c>
      <c r="G412" s="20">
        <v>7000000000</v>
      </c>
      <c r="H412" s="20">
        <f>H411-Table13[[#This Row],[مبلغ خروج]]+Table13[[#This Row],[مبلغ ورود]]</f>
        <v>-64421052342</v>
      </c>
    </row>
    <row r="413" spans="1:8" ht="42.75" customHeight="1">
      <c r="A413" s="1">
        <v>410</v>
      </c>
      <c r="B413" s="21" t="s">
        <v>411</v>
      </c>
      <c r="C413" s="1">
        <v>399696</v>
      </c>
      <c r="D413" s="19" t="str">
        <f>D412</f>
        <v>بانک اقتصاد نوین</v>
      </c>
      <c r="E413" s="74" t="s">
        <v>412</v>
      </c>
      <c r="G413" s="20">
        <v>11935500</v>
      </c>
      <c r="H413" s="20">
        <f>H412-Table13[[#This Row],[مبلغ خروج]]+Table13[[#This Row],[مبلغ ورود]]</f>
        <v>-64432987842</v>
      </c>
    </row>
    <row r="414" spans="1:8" ht="42.75" customHeight="1">
      <c r="A414" s="1">
        <v>411</v>
      </c>
      <c r="B414" s="21" t="s">
        <v>411</v>
      </c>
      <c r="C414" s="1">
        <v>399697</v>
      </c>
      <c r="D414" s="19" t="str">
        <f>D413</f>
        <v>بانک اقتصاد نوین</v>
      </c>
      <c r="E414" s="74" t="s">
        <v>413</v>
      </c>
      <c r="G414" s="20">
        <v>53355500</v>
      </c>
    </row>
    <row r="415" spans="1:8" ht="42.75" customHeight="1">
      <c r="A415" s="1">
        <v>412</v>
      </c>
      <c r="B415" s="21" t="s">
        <v>411</v>
      </c>
      <c r="C415" s="1">
        <v>399698</v>
      </c>
      <c r="D415" s="19" t="str">
        <f>D413</f>
        <v>بانک اقتصاد نوین</v>
      </c>
      <c r="E415" s="74" t="s">
        <v>322</v>
      </c>
      <c r="G415" s="20">
        <v>30000000</v>
      </c>
    </row>
    <row r="416" spans="1:8" ht="42.75" customHeight="1">
      <c r="A416" s="1">
        <v>413</v>
      </c>
      <c r="B416" s="21" t="s">
        <v>411</v>
      </c>
      <c r="C416" s="1">
        <v>399699</v>
      </c>
      <c r="D416" s="19" t="str">
        <f>D414</f>
        <v>بانک اقتصاد نوین</v>
      </c>
      <c r="E416" s="148" t="s">
        <v>210</v>
      </c>
      <c r="F416" s="84"/>
      <c r="G416" s="20">
        <v>0</v>
      </c>
      <c r="H416" s="84"/>
    </row>
    <row r="417" spans="1:8" ht="42.75" customHeight="1">
      <c r="A417" s="1">
        <v>414</v>
      </c>
      <c r="B417" s="21" t="s">
        <v>415</v>
      </c>
      <c r="C417" s="1">
        <v>399700</v>
      </c>
      <c r="D417" s="19" t="str">
        <f>D415</f>
        <v>بانک اقتصاد نوین</v>
      </c>
      <c r="E417" s="74" t="s">
        <v>316</v>
      </c>
      <c r="G417" s="20">
        <v>200000000</v>
      </c>
    </row>
    <row r="418" spans="1:8" ht="42.75" customHeight="1">
      <c r="A418" s="1">
        <v>415</v>
      </c>
      <c r="B418" s="21" t="s">
        <v>415</v>
      </c>
      <c r="C418" s="1">
        <v>667701</v>
      </c>
      <c r="D418" s="19" t="str">
        <f>D416</f>
        <v>بانک اقتصاد نوین</v>
      </c>
      <c r="E418" s="74" t="s">
        <v>414</v>
      </c>
      <c r="G418" s="20">
        <v>24764800</v>
      </c>
    </row>
    <row r="419" spans="1:8" ht="42.75" customHeight="1">
      <c r="A419" s="1">
        <v>416</v>
      </c>
      <c r="B419" s="21" t="s">
        <v>415</v>
      </c>
      <c r="C419" s="1">
        <v>667702</v>
      </c>
      <c r="D419" s="19" t="str">
        <f>D417</f>
        <v>بانک اقتصاد نوین</v>
      </c>
      <c r="E419" s="74" t="s">
        <v>416</v>
      </c>
      <c r="G419" s="20">
        <v>183000000</v>
      </c>
    </row>
    <row r="420" spans="1:8" ht="42.75" customHeight="1">
      <c r="A420" s="1">
        <v>417</v>
      </c>
      <c r="B420" s="21" t="s">
        <v>418</v>
      </c>
      <c r="C420" s="1">
        <v>667703</v>
      </c>
      <c r="D420" s="19" t="str">
        <f t="shared" ref="D420:D425" si="9">D418</f>
        <v>بانک اقتصاد نوین</v>
      </c>
      <c r="E420" s="74" t="s">
        <v>417</v>
      </c>
      <c r="G420" s="20">
        <v>1218575002</v>
      </c>
      <c r="H420" s="75"/>
    </row>
    <row r="421" spans="1:8" ht="42.75" customHeight="1">
      <c r="A421" s="1">
        <v>418</v>
      </c>
      <c r="B421" s="21" t="s">
        <v>418</v>
      </c>
      <c r="C421" s="1">
        <v>667704</v>
      </c>
      <c r="D421" s="19" t="str">
        <f t="shared" si="9"/>
        <v>بانک اقتصاد نوین</v>
      </c>
      <c r="E421" s="74" t="s">
        <v>350</v>
      </c>
      <c r="G421" s="20">
        <v>639666290</v>
      </c>
      <c r="H421" s="75"/>
    </row>
    <row r="422" spans="1:8" ht="42.75" customHeight="1">
      <c r="A422" s="1">
        <v>419</v>
      </c>
      <c r="B422" s="21" t="s">
        <v>419</v>
      </c>
      <c r="C422" s="1">
        <v>667705</v>
      </c>
      <c r="D422" s="19" t="str">
        <f t="shared" si="9"/>
        <v>بانک اقتصاد نوین</v>
      </c>
      <c r="E422" s="74" t="s">
        <v>322</v>
      </c>
      <c r="G422" s="20">
        <v>300000000</v>
      </c>
      <c r="H422" s="75"/>
    </row>
    <row r="423" spans="1:8" ht="42.75" customHeight="1">
      <c r="A423" s="1">
        <v>420</v>
      </c>
      <c r="B423" s="21" t="s">
        <v>419</v>
      </c>
      <c r="C423" s="1">
        <v>667706</v>
      </c>
      <c r="D423" s="19" t="str">
        <f t="shared" si="9"/>
        <v>بانک اقتصاد نوین</v>
      </c>
      <c r="E423" s="74" t="s">
        <v>328</v>
      </c>
      <c r="G423" s="20">
        <v>34650000</v>
      </c>
      <c r="H423" s="75"/>
    </row>
    <row r="424" spans="1:8" ht="42.75" customHeight="1">
      <c r="A424" s="1">
        <v>421</v>
      </c>
      <c r="B424" s="21" t="s">
        <v>419</v>
      </c>
      <c r="C424" s="1">
        <v>667707</v>
      </c>
      <c r="D424" s="19" t="str">
        <f t="shared" si="9"/>
        <v>بانک اقتصاد نوین</v>
      </c>
      <c r="E424" s="74" t="s">
        <v>210</v>
      </c>
      <c r="G424" s="85"/>
      <c r="H424" s="75"/>
    </row>
    <row r="425" spans="1:8" ht="42.75" customHeight="1">
      <c r="A425" s="1">
        <v>422</v>
      </c>
      <c r="B425" s="21" t="s">
        <v>419</v>
      </c>
      <c r="C425" s="1">
        <v>667708</v>
      </c>
      <c r="D425" s="19" t="str">
        <f t="shared" si="9"/>
        <v>بانک اقتصاد نوین</v>
      </c>
      <c r="E425" s="74" t="s">
        <v>420</v>
      </c>
      <c r="G425" s="20">
        <v>16850000</v>
      </c>
      <c r="H425" s="85">
        <f>G420+G421</f>
        <v>1858241292</v>
      </c>
    </row>
    <row r="426" spans="1:8" ht="42.75" customHeight="1">
      <c r="A426" s="1">
        <v>423</v>
      </c>
      <c r="B426" s="21" t="s">
        <v>421</v>
      </c>
      <c r="C426" s="1">
        <v>667709</v>
      </c>
      <c r="D426" s="19" t="str">
        <f>D423</f>
        <v>بانک اقتصاد نوین</v>
      </c>
      <c r="E426" s="74" t="s">
        <v>428</v>
      </c>
      <c r="G426" s="20">
        <v>116250000</v>
      </c>
      <c r="H426" s="75">
        <v>580000000</v>
      </c>
    </row>
    <row r="427" spans="1:8" ht="42.75" customHeight="1">
      <c r="A427" s="1">
        <v>424</v>
      </c>
      <c r="B427" s="21" t="s">
        <v>421</v>
      </c>
      <c r="C427" s="1">
        <v>667710</v>
      </c>
      <c r="D427" s="19" t="str">
        <f t="shared" ref="D427:D436" si="10">D424</f>
        <v>بانک اقتصاد نوین</v>
      </c>
      <c r="E427" s="74" t="s">
        <v>210</v>
      </c>
      <c r="H427" s="20">
        <f>H425+H426</f>
        <v>2438241292</v>
      </c>
    </row>
    <row r="428" spans="1:8" ht="42.75" customHeight="1">
      <c r="A428" s="1">
        <v>425</v>
      </c>
      <c r="B428" s="21" t="s">
        <v>422</v>
      </c>
      <c r="C428" s="1">
        <v>667711</v>
      </c>
      <c r="D428" s="19" t="str">
        <f t="shared" si="10"/>
        <v>بانک اقتصاد نوین</v>
      </c>
      <c r="E428" s="86" t="s">
        <v>423</v>
      </c>
      <c r="F428" s="21"/>
      <c r="G428" s="20">
        <v>800000000</v>
      </c>
      <c r="H428" s="20">
        <v>190000000</v>
      </c>
    </row>
    <row r="429" spans="1:8" ht="42.75" customHeight="1">
      <c r="A429" s="1">
        <v>426</v>
      </c>
      <c r="B429" s="21" t="s">
        <v>422</v>
      </c>
      <c r="C429" s="1">
        <v>667712</v>
      </c>
      <c r="D429" s="19" t="str">
        <f t="shared" si="10"/>
        <v>بانک اقتصاد نوین</v>
      </c>
      <c r="E429" s="149" t="s">
        <v>210</v>
      </c>
      <c r="H429" s="20">
        <f>H427+H428</f>
        <v>2628241292</v>
      </c>
    </row>
    <row r="430" spans="1:8" ht="42.75" customHeight="1">
      <c r="A430" s="1">
        <v>427</v>
      </c>
      <c r="B430" s="21" t="s">
        <v>422</v>
      </c>
      <c r="C430" s="1">
        <v>667713</v>
      </c>
      <c r="D430" s="19" t="str">
        <f t="shared" si="10"/>
        <v>بانک اقتصاد نوین</v>
      </c>
      <c r="E430" s="86" t="s">
        <v>424</v>
      </c>
      <c r="F430" s="21"/>
      <c r="G430" s="20">
        <v>48609000</v>
      </c>
    </row>
    <row r="431" spans="1:8" ht="42.75" customHeight="1">
      <c r="A431" s="1">
        <v>428</v>
      </c>
      <c r="B431" s="21" t="s">
        <v>422</v>
      </c>
      <c r="C431" s="1">
        <v>667714</v>
      </c>
      <c r="D431" s="19" t="str">
        <f t="shared" si="10"/>
        <v>بانک اقتصاد نوین</v>
      </c>
      <c r="E431" s="74" t="s">
        <v>322</v>
      </c>
      <c r="G431" s="20">
        <v>60000000</v>
      </c>
      <c r="H431" s="85"/>
    </row>
    <row r="432" spans="1:8" ht="42.75" customHeight="1">
      <c r="A432" s="1">
        <v>429</v>
      </c>
      <c r="B432" s="21" t="s">
        <v>425</v>
      </c>
      <c r="C432" s="1">
        <v>667715</v>
      </c>
      <c r="D432" s="19" t="str">
        <f t="shared" si="10"/>
        <v>بانک اقتصاد نوین</v>
      </c>
      <c r="E432" s="74" t="s">
        <v>296</v>
      </c>
      <c r="F432" s="88"/>
      <c r="G432" s="20">
        <v>90000000</v>
      </c>
      <c r="H432" s="85"/>
    </row>
    <row r="433" spans="1:8" ht="42.75" customHeight="1">
      <c r="A433" s="1">
        <v>430</v>
      </c>
      <c r="B433" s="21" t="s">
        <v>425</v>
      </c>
      <c r="C433" s="1">
        <v>667716</v>
      </c>
      <c r="D433" s="19" t="str">
        <f t="shared" si="10"/>
        <v>بانک اقتصاد نوین</v>
      </c>
      <c r="E433" s="74" t="s">
        <v>426</v>
      </c>
      <c r="F433" s="88"/>
      <c r="G433" s="20">
        <v>972480203</v>
      </c>
      <c r="H433" s="85"/>
    </row>
    <row r="434" spans="1:8" ht="42.75" customHeight="1">
      <c r="A434" s="1">
        <v>431</v>
      </c>
      <c r="B434" s="21" t="s">
        <v>425</v>
      </c>
      <c r="C434" s="1">
        <v>667717</v>
      </c>
      <c r="D434" s="19" t="str">
        <f t="shared" si="10"/>
        <v>بانک اقتصاد نوین</v>
      </c>
      <c r="E434" s="74" t="s">
        <v>427</v>
      </c>
      <c r="F434" s="88"/>
      <c r="G434" s="20">
        <v>21891112</v>
      </c>
      <c r="H434" s="85"/>
    </row>
    <row r="435" spans="1:8" ht="42.75" customHeight="1">
      <c r="A435" s="1">
        <v>432</v>
      </c>
      <c r="B435" s="21" t="s">
        <v>425</v>
      </c>
      <c r="C435" s="1">
        <v>667718</v>
      </c>
      <c r="D435" s="19" t="str">
        <f t="shared" si="10"/>
        <v>بانک اقتصاد نوین</v>
      </c>
      <c r="E435" s="74" t="s">
        <v>255</v>
      </c>
      <c r="F435" s="88"/>
      <c r="G435" s="20">
        <v>14000000000</v>
      </c>
      <c r="H435" s="85"/>
    </row>
    <row r="436" spans="1:8" ht="42.75" customHeight="1">
      <c r="A436" s="1">
        <v>433</v>
      </c>
      <c r="B436" s="21" t="s">
        <v>429</v>
      </c>
      <c r="C436" s="1">
        <v>667719</v>
      </c>
      <c r="D436" s="19" t="str">
        <f t="shared" si="10"/>
        <v>بانک اقتصاد نوین</v>
      </c>
      <c r="E436" s="74" t="s">
        <v>428</v>
      </c>
      <c r="F436" s="88"/>
      <c r="G436" s="20">
        <v>116250000</v>
      </c>
      <c r="H436" s="85"/>
    </row>
    <row r="437" spans="1:8" ht="42.75" customHeight="1">
      <c r="A437" s="1">
        <v>434</v>
      </c>
      <c r="B437" s="87" t="s">
        <v>430</v>
      </c>
      <c r="C437" s="1">
        <v>667720</v>
      </c>
      <c r="D437" s="19" t="str">
        <f t="shared" ref="D437:D469" si="11">D433</f>
        <v>بانک اقتصاد نوین</v>
      </c>
      <c r="E437" s="74" t="s">
        <v>296</v>
      </c>
      <c r="F437" s="88"/>
      <c r="G437" s="85">
        <v>575000000</v>
      </c>
      <c r="H437" s="85"/>
    </row>
    <row r="438" spans="1:8" ht="42.75" customHeight="1">
      <c r="A438" s="1">
        <v>435</v>
      </c>
      <c r="B438" s="21" t="s">
        <v>432</v>
      </c>
      <c r="C438" s="1">
        <v>667721</v>
      </c>
      <c r="D438" s="19" t="str">
        <f t="shared" si="11"/>
        <v>بانک اقتصاد نوین</v>
      </c>
      <c r="E438" s="74" t="s">
        <v>431</v>
      </c>
      <c r="G438" s="20">
        <v>172176400</v>
      </c>
    </row>
    <row r="439" spans="1:8" ht="42.75" customHeight="1">
      <c r="A439" s="1">
        <v>436</v>
      </c>
      <c r="B439" s="21" t="s">
        <v>432</v>
      </c>
      <c r="C439" s="1">
        <v>667722</v>
      </c>
      <c r="D439" s="19" t="str">
        <f t="shared" si="11"/>
        <v>بانک اقتصاد نوین</v>
      </c>
      <c r="E439" s="74" t="s">
        <v>434</v>
      </c>
      <c r="G439" s="20">
        <v>190158778</v>
      </c>
    </row>
    <row r="440" spans="1:8" ht="42.75" customHeight="1">
      <c r="A440" s="1">
        <v>437</v>
      </c>
      <c r="B440" s="21" t="s">
        <v>433</v>
      </c>
      <c r="C440" s="1">
        <v>667723</v>
      </c>
      <c r="D440" s="19" t="str">
        <f t="shared" si="11"/>
        <v>بانک اقتصاد نوین</v>
      </c>
      <c r="E440" s="74" t="s">
        <v>339</v>
      </c>
      <c r="F440" s="89"/>
      <c r="G440" s="20">
        <v>8300000</v>
      </c>
      <c r="H440" s="90"/>
    </row>
    <row r="441" spans="1:8" ht="42.75" customHeight="1">
      <c r="A441" s="1">
        <v>438</v>
      </c>
      <c r="B441" s="21" t="s">
        <v>432</v>
      </c>
      <c r="C441" s="1">
        <v>667724</v>
      </c>
      <c r="D441" s="19" t="str">
        <f t="shared" si="11"/>
        <v>بانک اقتصاد نوین</v>
      </c>
      <c r="E441" s="74" t="s">
        <v>322</v>
      </c>
      <c r="F441" s="89"/>
      <c r="G441" s="20">
        <v>30000000</v>
      </c>
      <c r="H441" s="90"/>
    </row>
    <row r="442" spans="1:8" ht="42.75" customHeight="1">
      <c r="A442" s="1">
        <v>439</v>
      </c>
      <c r="B442" s="21" t="s">
        <v>435</v>
      </c>
      <c r="C442" s="1">
        <v>667725</v>
      </c>
      <c r="D442" s="19" t="str">
        <f t="shared" si="11"/>
        <v>بانک اقتصاد نوین</v>
      </c>
      <c r="E442" s="74" t="s">
        <v>437</v>
      </c>
      <c r="F442" s="89"/>
      <c r="G442" s="20">
        <v>0</v>
      </c>
      <c r="H442" s="90"/>
    </row>
    <row r="443" spans="1:8" ht="42.75" customHeight="1">
      <c r="A443" s="1">
        <v>440</v>
      </c>
      <c r="B443" s="21" t="s">
        <v>435</v>
      </c>
      <c r="C443" s="1">
        <v>667726</v>
      </c>
      <c r="D443" s="19" t="str">
        <f t="shared" si="11"/>
        <v>بانک اقتصاد نوین</v>
      </c>
      <c r="E443" s="74" t="s">
        <v>436</v>
      </c>
      <c r="F443" s="89"/>
      <c r="G443" s="20">
        <v>73000000</v>
      </c>
      <c r="H443" s="90"/>
    </row>
    <row r="444" spans="1:8" ht="42.75" customHeight="1">
      <c r="A444" s="1">
        <v>441</v>
      </c>
      <c r="B444" s="21" t="s">
        <v>438</v>
      </c>
      <c r="C444" s="1">
        <v>667727</v>
      </c>
      <c r="D444" s="19" t="str">
        <f t="shared" si="11"/>
        <v>بانک اقتصاد نوین</v>
      </c>
      <c r="E444" s="74" t="s">
        <v>439</v>
      </c>
      <c r="F444" s="89"/>
      <c r="G444" s="20">
        <v>40766000</v>
      </c>
      <c r="H444" s="90"/>
    </row>
    <row r="445" spans="1:8" ht="42.75" customHeight="1">
      <c r="A445" s="1">
        <v>442</v>
      </c>
      <c r="B445" s="21" t="s">
        <v>438</v>
      </c>
      <c r="C445" s="1">
        <v>667728</v>
      </c>
      <c r="D445" s="19" t="str">
        <f t="shared" si="11"/>
        <v>بانک اقتصاد نوین</v>
      </c>
      <c r="E445" s="74" t="s">
        <v>440</v>
      </c>
      <c r="F445" s="89"/>
      <c r="G445" s="20">
        <v>54500000</v>
      </c>
      <c r="H445" s="90"/>
    </row>
    <row r="446" spans="1:8" ht="42.75" customHeight="1">
      <c r="A446" s="1">
        <v>443</v>
      </c>
      <c r="B446" s="21" t="s">
        <v>441</v>
      </c>
      <c r="C446" s="1">
        <v>667729</v>
      </c>
      <c r="D446" s="19" t="str">
        <f t="shared" si="11"/>
        <v>بانک اقتصاد نوین</v>
      </c>
      <c r="E446" s="74" t="s">
        <v>322</v>
      </c>
      <c r="F446" s="89"/>
      <c r="G446" s="20">
        <v>20000000</v>
      </c>
      <c r="H446" s="90"/>
    </row>
    <row r="447" spans="1:8" ht="42.75" customHeight="1">
      <c r="A447" s="1">
        <v>444</v>
      </c>
      <c r="B447" s="21" t="s">
        <v>441</v>
      </c>
      <c r="C447" s="1">
        <v>667730</v>
      </c>
      <c r="D447" s="19" t="str">
        <f t="shared" si="11"/>
        <v>بانک اقتصاد نوین</v>
      </c>
      <c r="E447" s="74" t="s">
        <v>255</v>
      </c>
      <c r="F447" s="89"/>
      <c r="G447" s="20">
        <v>100000000000</v>
      </c>
      <c r="H447" s="90"/>
    </row>
    <row r="448" spans="1:8" ht="42.75" customHeight="1">
      <c r="A448" s="1">
        <v>445</v>
      </c>
      <c r="B448" s="21" t="s">
        <v>441</v>
      </c>
      <c r="C448" s="1">
        <v>667731</v>
      </c>
      <c r="D448" s="19" t="str">
        <f t="shared" si="11"/>
        <v>بانک اقتصاد نوین</v>
      </c>
      <c r="E448" s="74" t="s">
        <v>442</v>
      </c>
      <c r="F448" s="89"/>
      <c r="G448" s="20">
        <v>90000000</v>
      </c>
      <c r="H448" s="90"/>
    </row>
    <row r="449" spans="1:8" ht="42.75" customHeight="1">
      <c r="A449" s="1">
        <v>446</v>
      </c>
      <c r="B449" s="21" t="s">
        <v>441</v>
      </c>
      <c r="C449" s="1">
        <v>667732</v>
      </c>
      <c r="D449" s="19" t="str">
        <f t="shared" si="11"/>
        <v>بانک اقتصاد نوین</v>
      </c>
      <c r="E449" s="74" t="s">
        <v>316</v>
      </c>
      <c r="F449" s="89"/>
      <c r="G449" s="20">
        <v>20000000</v>
      </c>
      <c r="H449" s="90"/>
    </row>
    <row r="450" spans="1:8" ht="42.75" customHeight="1">
      <c r="A450" s="1">
        <v>447</v>
      </c>
      <c r="B450" s="21" t="s">
        <v>443</v>
      </c>
      <c r="C450" s="1">
        <v>667733</v>
      </c>
      <c r="D450" s="19" t="str">
        <f t="shared" si="11"/>
        <v>بانک اقتصاد نوین</v>
      </c>
      <c r="E450" s="74" t="s">
        <v>226</v>
      </c>
      <c r="F450" s="89"/>
      <c r="G450" s="20">
        <v>1874926893</v>
      </c>
      <c r="H450" s="90"/>
    </row>
    <row r="451" spans="1:8" ht="42.75" customHeight="1">
      <c r="A451" s="1">
        <v>448</v>
      </c>
      <c r="B451" s="21" t="s">
        <v>443</v>
      </c>
      <c r="C451" s="1">
        <v>667734</v>
      </c>
      <c r="D451" s="19" t="str">
        <f t="shared" si="11"/>
        <v>بانک اقتصاد نوین</v>
      </c>
      <c r="E451" s="74" t="s">
        <v>350</v>
      </c>
      <c r="F451" s="89"/>
      <c r="G451" s="20">
        <v>627675260</v>
      </c>
      <c r="H451" s="90"/>
    </row>
    <row r="452" spans="1:8" ht="42.75" customHeight="1">
      <c r="A452" s="1">
        <v>449</v>
      </c>
      <c r="B452" s="21" t="s">
        <v>443</v>
      </c>
      <c r="C452" s="1">
        <v>667735</v>
      </c>
      <c r="D452" s="19" t="str">
        <f t="shared" si="11"/>
        <v>بانک اقتصاد نوین</v>
      </c>
      <c r="E452" s="74" t="s">
        <v>328</v>
      </c>
      <c r="F452" s="89"/>
      <c r="G452" s="20">
        <v>34375000</v>
      </c>
      <c r="H452" s="90"/>
    </row>
    <row r="453" spans="1:8" ht="42.75" customHeight="1">
      <c r="A453" s="1">
        <v>450</v>
      </c>
      <c r="B453" s="21" t="s">
        <v>444</v>
      </c>
      <c r="C453" s="1">
        <v>667736</v>
      </c>
      <c r="D453" s="19" t="str">
        <f t="shared" si="11"/>
        <v>بانک اقتصاد نوین</v>
      </c>
      <c r="E453" s="74" t="s">
        <v>322</v>
      </c>
      <c r="F453" s="89"/>
      <c r="G453" s="20">
        <v>50000000</v>
      </c>
      <c r="H453" s="90"/>
    </row>
    <row r="454" spans="1:8" ht="42.75" customHeight="1">
      <c r="A454" s="1">
        <v>451</v>
      </c>
      <c r="B454" s="21" t="s">
        <v>444</v>
      </c>
      <c r="C454" s="1">
        <v>667737</v>
      </c>
      <c r="D454" s="19" t="str">
        <f t="shared" si="11"/>
        <v>بانک اقتصاد نوین</v>
      </c>
      <c r="E454" s="74" t="s">
        <v>445</v>
      </c>
      <c r="F454" s="89"/>
      <c r="G454" s="20">
        <v>18000000</v>
      </c>
      <c r="H454" s="90"/>
    </row>
    <row r="455" spans="1:8" ht="42.75" customHeight="1">
      <c r="A455" s="1">
        <v>452</v>
      </c>
      <c r="B455" s="21" t="s">
        <v>444</v>
      </c>
      <c r="C455" s="1">
        <v>667738</v>
      </c>
      <c r="D455" s="19" t="str">
        <f t="shared" si="11"/>
        <v>بانک اقتصاد نوین</v>
      </c>
      <c r="E455" s="74" t="s">
        <v>255</v>
      </c>
      <c r="F455" s="89"/>
      <c r="G455" s="20">
        <v>7000000000</v>
      </c>
      <c r="H455" s="90"/>
    </row>
    <row r="456" spans="1:8" ht="42.75" customHeight="1">
      <c r="A456" s="1">
        <v>453</v>
      </c>
      <c r="B456" s="21" t="s">
        <v>444</v>
      </c>
      <c r="C456" s="1">
        <v>667739</v>
      </c>
      <c r="D456" s="19" t="str">
        <f t="shared" si="11"/>
        <v>بانک اقتصاد نوین</v>
      </c>
      <c r="E456" s="74" t="s">
        <v>446</v>
      </c>
      <c r="F456" s="89"/>
      <c r="G456" s="20">
        <v>20000000</v>
      </c>
      <c r="H456" s="90"/>
    </row>
    <row r="457" spans="1:8" ht="42.75" customHeight="1">
      <c r="A457" s="1">
        <v>454</v>
      </c>
      <c r="B457" s="21" t="s">
        <v>447</v>
      </c>
      <c r="C457" s="1">
        <v>667740</v>
      </c>
      <c r="D457" s="19" t="str">
        <f t="shared" si="11"/>
        <v>بانک اقتصاد نوین</v>
      </c>
      <c r="E457" s="74" t="s">
        <v>448</v>
      </c>
      <c r="F457" s="89"/>
      <c r="G457" s="20">
        <v>52200100</v>
      </c>
      <c r="H457" s="90"/>
    </row>
    <row r="458" spans="1:8" ht="42.75" customHeight="1">
      <c r="A458" s="1">
        <v>455</v>
      </c>
      <c r="B458" s="21" t="s">
        <v>449</v>
      </c>
      <c r="C458" s="1">
        <v>667741</v>
      </c>
      <c r="D458" s="19" t="str">
        <f t="shared" si="11"/>
        <v>بانک اقتصاد نوین</v>
      </c>
      <c r="E458" s="74" t="s">
        <v>451</v>
      </c>
      <c r="F458" s="89"/>
      <c r="G458" s="20">
        <v>30000000</v>
      </c>
      <c r="H458" s="90"/>
    </row>
    <row r="459" spans="1:8" ht="42.75" customHeight="1">
      <c r="A459" s="1">
        <v>456</v>
      </c>
      <c r="B459" s="21" t="s">
        <v>447</v>
      </c>
      <c r="C459" s="1">
        <v>667742</v>
      </c>
      <c r="D459" s="19" t="str">
        <f t="shared" si="11"/>
        <v>بانک اقتصاد نوین</v>
      </c>
      <c r="E459" s="74" t="s">
        <v>450</v>
      </c>
      <c r="F459" s="89"/>
      <c r="G459" s="20">
        <v>16622500</v>
      </c>
      <c r="H459" s="90"/>
    </row>
    <row r="460" spans="1:8" ht="42.75" customHeight="1">
      <c r="A460" s="1">
        <v>457</v>
      </c>
      <c r="B460" s="21" t="s">
        <v>453</v>
      </c>
      <c r="C460" s="1">
        <v>667743</v>
      </c>
      <c r="D460" s="19" t="str">
        <f t="shared" si="11"/>
        <v>بانک اقتصاد نوین</v>
      </c>
      <c r="E460" s="74" t="s">
        <v>452</v>
      </c>
      <c r="F460" s="89"/>
      <c r="G460" s="20">
        <v>6000000000</v>
      </c>
      <c r="H460" s="90"/>
    </row>
    <row r="461" spans="1:8" ht="42.75" customHeight="1">
      <c r="A461" s="1">
        <v>458</v>
      </c>
      <c r="B461" s="21" t="s">
        <v>454</v>
      </c>
      <c r="C461" s="1">
        <v>667744</v>
      </c>
      <c r="D461" s="19" t="str">
        <f t="shared" si="11"/>
        <v>بانک اقتصاد نوین</v>
      </c>
      <c r="E461" s="74" t="s">
        <v>322</v>
      </c>
      <c r="F461" s="89"/>
      <c r="G461" s="20">
        <v>40000000</v>
      </c>
      <c r="H461" s="90"/>
    </row>
    <row r="462" spans="1:8" ht="42.75" customHeight="1">
      <c r="A462" s="1">
        <v>459</v>
      </c>
      <c r="B462" s="21" t="s">
        <v>455</v>
      </c>
      <c r="C462" s="1">
        <v>667745</v>
      </c>
      <c r="D462" s="21" t="str">
        <f t="shared" si="11"/>
        <v>بانک اقتصاد نوین</v>
      </c>
      <c r="E462" s="149" t="s">
        <v>316</v>
      </c>
      <c r="F462" s="21"/>
      <c r="G462" s="20">
        <v>30000000</v>
      </c>
      <c r="H462" s="90"/>
    </row>
    <row r="463" spans="1:8" ht="42.75" customHeight="1">
      <c r="A463" s="1">
        <v>460</v>
      </c>
      <c r="B463" s="21" t="s">
        <v>455</v>
      </c>
      <c r="C463" s="1">
        <v>667746</v>
      </c>
      <c r="D463" s="21" t="str">
        <f t="shared" si="11"/>
        <v>بانک اقتصاد نوین</v>
      </c>
      <c r="E463" s="74" t="s">
        <v>322</v>
      </c>
      <c r="F463" s="89"/>
      <c r="G463" s="20">
        <v>50000000</v>
      </c>
      <c r="H463" s="90"/>
    </row>
    <row r="464" spans="1:8" ht="42.75" customHeight="1">
      <c r="A464" s="1">
        <v>461</v>
      </c>
      <c r="B464" s="21" t="s">
        <v>456</v>
      </c>
      <c r="C464" s="1">
        <v>667747</v>
      </c>
      <c r="D464" s="21" t="str">
        <f t="shared" si="11"/>
        <v>بانک اقتصاد نوین</v>
      </c>
      <c r="E464" s="74" t="s">
        <v>296</v>
      </c>
      <c r="F464" s="89"/>
      <c r="G464" s="20">
        <v>1000000000</v>
      </c>
      <c r="H464" s="90"/>
    </row>
    <row r="465" spans="1:8" ht="42.75" customHeight="1">
      <c r="A465" s="1">
        <v>462</v>
      </c>
      <c r="B465" s="21" t="s">
        <v>457</v>
      </c>
      <c r="C465" s="1">
        <v>667748</v>
      </c>
      <c r="D465" s="21" t="str">
        <f t="shared" si="11"/>
        <v>بانک اقتصاد نوین</v>
      </c>
      <c r="E465" s="74" t="s">
        <v>322</v>
      </c>
      <c r="F465" s="89"/>
      <c r="G465" s="20">
        <v>50000000</v>
      </c>
      <c r="H465" s="90"/>
    </row>
    <row r="466" spans="1:8" ht="42.75" customHeight="1">
      <c r="A466" s="1">
        <v>463</v>
      </c>
      <c r="B466" s="21" t="s">
        <v>457</v>
      </c>
      <c r="C466" s="1">
        <v>667749</v>
      </c>
      <c r="D466" s="21" t="str">
        <f t="shared" si="11"/>
        <v>بانک اقتصاد نوین</v>
      </c>
      <c r="E466" s="74" t="s">
        <v>459</v>
      </c>
      <c r="F466" s="89"/>
      <c r="G466" s="20">
        <v>35000000</v>
      </c>
      <c r="H466" s="90"/>
    </row>
    <row r="467" spans="1:8" ht="42.75" customHeight="1">
      <c r="A467" s="1">
        <v>464</v>
      </c>
      <c r="B467" s="21" t="s">
        <v>458</v>
      </c>
      <c r="C467" s="1">
        <v>667750</v>
      </c>
      <c r="D467" s="21" t="str">
        <f t="shared" si="11"/>
        <v>بانک اقتصاد نوین</v>
      </c>
      <c r="E467" s="74" t="s">
        <v>460</v>
      </c>
      <c r="F467" s="89"/>
      <c r="G467" s="20">
        <v>90000000</v>
      </c>
      <c r="H467" s="90"/>
    </row>
    <row r="468" spans="1:8" ht="42.75" customHeight="1">
      <c r="A468" s="1">
        <v>465</v>
      </c>
      <c r="B468" s="21" t="s">
        <v>461</v>
      </c>
      <c r="C468" s="1">
        <v>905801</v>
      </c>
      <c r="D468" s="21" t="str">
        <f t="shared" si="11"/>
        <v>بانک اقتصاد نوین</v>
      </c>
      <c r="E468" s="74" t="s">
        <v>462</v>
      </c>
      <c r="F468" s="89"/>
      <c r="G468" s="20">
        <v>168296000</v>
      </c>
      <c r="H468" s="90"/>
    </row>
    <row r="469" spans="1:8" ht="42.75" customHeight="1">
      <c r="A469" s="1">
        <v>466</v>
      </c>
      <c r="B469" s="21" t="s">
        <v>463</v>
      </c>
      <c r="C469" s="1">
        <v>905802</v>
      </c>
      <c r="D469" s="21" t="str">
        <f t="shared" si="11"/>
        <v>بانک اقتصاد نوین</v>
      </c>
      <c r="E469" s="74" t="s">
        <v>464</v>
      </c>
      <c r="F469" s="89"/>
      <c r="G469" s="20">
        <v>37173489478</v>
      </c>
      <c r="H469" s="90"/>
    </row>
    <row r="470" spans="1:8" ht="42.75" customHeight="1">
      <c r="A470" s="1">
        <v>467</v>
      </c>
      <c r="B470" s="21" t="s">
        <v>463</v>
      </c>
      <c r="C470" s="1">
        <v>905803</v>
      </c>
      <c r="D470" s="21" t="str">
        <f t="shared" ref="D470:D478" si="12">D464</f>
        <v>بانک اقتصاد نوین</v>
      </c>
      <c r="E470" s="74" t="s">
        <v>464</v>
      </c>
      <c r="F470" s="89"/>
      <c r="G470" s="20">
        <v>9267000000</v>
      </c>
      <c r="H470" s="90"/>
    </row>
    <row r="471" spans="1:8" ht="42.75" customHeight="1">
      <c r="A471" s="1">
        <v>468</v>
      </c>
      <c r="B471" s="21" t="s">
        <v>463</v>
      </c>
      <c r="C471" s="1">
        <v>905804</v>
      </c>
      <c r="D471" s="21" t="str">
        <f t="shared" si="12"/>
        <v>بانک اقتصاد نوین</v>
      </c>
      <c r="E471" s="74" t="s">
        <v>464</v>
      </c>
      <c r="F471" s="89"/>
      <c r="G471" s="20">
        <f>48002898251-G470-G469</f>
        <v>1562408773</v>
      </c>
      <c r="H471" s="90"/>
    </row>
    <row r="472" spans="1:8" ht="42.75" customHeight="1">
      <c r="A472" s="1">
        <v>469</v>
      </c>
      <c r="B472" s="21"/>
      <c r="C472" s="1">
        <v>905805</v>
      </c>
      <c r="D472" s="21" t="str">
        <f t="shared" si="12"/>
        <v>بانک اقتصاد نوین</v>
      </c>
      <c r="E472" s="74" t="s">
        <v>464</v>
      </c>
      <c r="F472" s="89"/>
      <c r="G472" s="20">
        <v>37173489478</v>
      </c>
      <c r="H472" s="90"/>
    </row>
    <row r="473" spans="1:8" ht="42.75" customHeight="1">
      <c r="A473" s="1">
        <v>470</v>
      </c>
      <c r="B473" s="21" t="s">
        <v>465</v>
      </c>
      <c r="C473" s="1">
        <v>905806</v>
      </c>
      <c r="D473" s="21" t="str">
        <f t="shared" si="12"/>
        <v>بانک اقتصاد نوین</v>
      </c>
      <c r="E473" s="74" t="s">
        <v>322</v>
      </c>
      <c r="F473" s="89"/>
      <c r="G473" s="20">
        <v>50000000</v>
      </c>
      <c r="H473" s="90"/>
    </row>
    <row r="474" spans="1:8" ht="42.75" customHeight="1">
      <c r="A474" s="1">
        <v>471</v>
      </c>
      <c r="B474" s="21" t="s">
        <v>466</v>
      </c>
      <c r="C474" s="1">
        <v>905807</v>
      </c>
      <c r="D474" s="21" t="str">
        <f t="shared" si="12"/>
        <v>بانک اقتصاد نوین</v>
      </c>
      <c r="E474" s="74" t="s">
        <v>467</v>
      </c>
      <c r="F474" s="89"/>
      <c r="G474" s="20">
        <v>20000000</v>
      </c>
      <c r="H474" s="90"/>
    </row>
    <row r="475" spans="1:8" ht="42.75" customHeight="1">
      <c r="A475" s="1">
        <v>472</v>
      </c>
      <c r="B475" s="21" t="s">
        <v>468</v>
      </c>
      <c r="C475" s="1">
        <v>905808</v>
      </c>
      <c r="D475" s="21" t="str">
        <f t="shared" si="12"/>
        <v>بانک اقتصاد نوین</v>
      </c>
      <c r="E475" s="91" t="s">
        <v>469</v>
      </c>
      <c r="F475" s="89"/>
      <c r="G475" s="20">
        <v>2000000000</v>
      </c>
      <c r="H475" s="90"/>
    </row>
    <row r="476" spans="1:8" ht="42.75" customHeight="1">
      <c r="A476" s="1">
        <v>473</v>
      </c>
      <c r="B476" s="21" t="s">
        <v>468</v>
      </c>
      <c r="C476" s="1">
        <v>905809</v>
      </c>
      <c r="D476" s="21" t="str">
        <f t="shared" si="12"/>
        <v>بانک اقتصاد نوین</v>
      </c>
      <c r="E476" s="74" t="s">
        <v>239</v>
      </c>
      <c r="F476" s="89"/>
      <c r="G476" s="20">
        <v>1820903121</v>
      </c>
      <c r="H476" s="90"/>
    </row>
    <row r="477" spans="1:8" ht="42.75" customHeight="1">
      <c r="A477" s="1">
        <v>474</v>
      </c>
      <c r="B477" s="21" t="s">
        <v>468</v>
      </c>
      <c r="C477" s="1">
        <v>905810</v>
      </c>
      <c r="D477" s="21" t="str">
        <f t="shared" si="12"/>
        <v>بانک اقتصاد نوین</v>
      </c>
      <c r="E477" s="92" t="s">
        <v>350</v>
      </c>
      <c r="F477" s="89"/>
      <c r="G477" s="20">
        <v>661012201</v>
      </c>
      <c r="H477" s="90"/>
    </row>
    <row r="478" spans="1:8" ht="42.75" customHeight="1">
      <c r="A478" s="1">
        <v>475</v>
      </c>
      <c r="B478" s="21" t="s">
        <v>468</v>
      </c>
      <c r="C478" s="1">
        <v>905811</v>
      </c>
      <c r="D478" s="21" t="str">
        <f t="shared" si="12"/>
        <v>بانک اقتصاد نوین</v>
      </c>
      <c r="E478" s="92" t="s">
        <v>350</v>
      </c>
      <c r="F478" s="89"/>
      <c r="G478" s="20">
        <v>625207202</v>
      </c>
      <c r="H478" s="90"/>
    </row>
    <row r="479" spans="1:8" ht="42.75" customHeight="1">
      <c r="A479" s="1">
        <v>476</v>
      </c>
      <c r="B479" s="21" t="s">
        <v>468</v>
      </c>
      <c r="C479" s="1">
        <v>905812</v>
      </c>
      <c r="D479" s="21" t="str">
        <f>D474</f>
        <v>بانک اقتصاد نوین</v>
      </c>
      <c r="E479" s="92" t="s">
        <v>210</v>
      </c>
      <c r="F479" s="89"/>
      <c r="H479" s="79" t="s">
        <v>476</v>
      </c>
    </row>
    <row r="480" spans="1:8" ht="42.75" customHeight="1">
      <c r="A480" s="1">
        <v>477</v>
      </c>
      <c r="B480" s="21" t="s">
        <v>468</v>
      </c>
      <c r="C480" s="1">
        <v>905813</v>
      </c>
      <c r="D480" s="21" t="str">
        <f>D473</f>
        <v>بانک اقتصاد نوین</v>
      </c>
      <c r="E480" s="92" t="s">
        <v>470</v>
      </c>
      <c r="F480" s="89"/>
      <c r="G480" s="20">
        <v>403000000</v>
      </c>
      <c r="H480" s="90"/>
    </row>
    <row r="481" spans="1:8" ht="42.75" customHeight="1">
      <c r="A481" s="1">
        <v>478</v>
      </c>
      <c r="B481" s="21" t="s">
        <v>472</v>
      </c>
      <c r="C481" s="1">
        <v>905814</v>
      </c>
      <c r="D481" s="93"/>
      <c r="E481" s="92" t="s">
        <v>210</v>
      </c>
      <c r="F481" s="89"/>
      <c r="G481" s="90"/>
      <c r="H481" s="79" t="s">
        <v>476</v>
      </c>
    </row>
    <row r="482" spans="1:8" ht="42.75" customHeight="1">
      <c r="A482" s="1">
        <v>479</v>
      </c>
      <c r="B482" s="21" t="s">
        <v>473</v>
      </c>
      <c r="C482" s="1">
        <v>905815</v>
      </c>
      <c r="D482" s="21" t="str">
        <f>D478</f>
        <v>بانک اقتصاد نوین</v>
      </c>
      <c r="E482" s="92" t="s">
        <v>475</v>
      </c>
      <c r="F482" s="89"/>
      <c r="G482" s="20">
        <v>68204931</v>
      </c>
      <c r="H482" s="90"/>
    </row>
    <row r="483" spans="1:8" ht="42.75" customHeight="1">
      <c r="A483" s="1">
        <v>480</v>
      </c>
      <c r="B483" s="21" t="s">
        <v>468</v>
      </c>
      <c r="C483" s="1">
        <v>905816</v>
      </c>
      <c r="D483" s="93"/>
      <c r="E483" s="92" t="s">
        <v>210</v>
      </c>
      <c r="F483" s="89"/>
      <c r="G483" s="90"/>
      <c r="H483" s="79" t="s">
        <v>476</v>
      </c>
    </row>
    <row r="484" spans="1:8" ht="42.75" customHeight="1">
      <c r="A484" s="1">
        <v>481</v>
      </c>
      <c r="B484" s="21" t="s">
        <v>472</v>
      </c>
      <c r="C484" s="1">
        <v>905817</v>
      </c>
      <c r="D484" s="21" t="str">
        <f t="shared" ref="D484:D489" si="13">D475</f>
        <v>بانک اقتصاد نوین</v>
      </c>
      <c r="E484" s="92" t="s">
        <v>471</v>
      </c>
      <c r="F484" s="89"/>
      <c r="G484" s="20">
        <v>87360000</v>
      </c>
      <c r="H484" s="90"/>
    </row>
    <row r="485" spans="1:8" ht="42.75" customHeight="1">
      <c r="A485" s="1">
        <v>482</v>
      </c>
      <c r="B485" s="21" t="s">
        <v>473</v>
      </c>
      <c r="C485" s="1">
        <v>905818</v>
      </c>
      <c r="D485" s="21" t="str">
        <f t="shared" si="13"/>
        <v>بانک اقتصاد نوین</v>
      </c>
      <c r="E485" s="92" t="s">
        <v>322</v>
      </c>
      <c r="F485" s="89"/>
      <c r="G485" s="20">
        <v>30000000</v>
      </c>
      <c r="H485" s="90"/>
    </row>
    <row r="486" spans="1:8" ht="42.75" customHeight="1">
      <c r="A486" s="1">
        <v>483</v>
      </c>
      <c r="B486" s="21" t="s">
        <v>473</v>
      </c>
      <c r="C486" s="1">
        <v>905819</v>
      </c>
      <c r="D486" s="21" t="str">
        <f t="shared" si="13"/>
        <v>بانک اقتصاد نوین</v>
      </c>
      <c r="E486" s="92" t="s">
        <v>474</v>
      </c>
      <c r="F486" s="89"/>
      <c r="G486" s="20">
        <v>50000000</v>
      </c>
      <c r="H486" s="90"/>
    </row>
    <row r="487" spans="1:8" ht="42.75" customHeight="1">
      <c r="A487" s="1">
        <v>484</v>
      </c>
      <c r="B487" s="21" t="s">
        <v>479</v>
      </c>
      <c r="C487" s="1">
        <v>905820</v>
      </c>
      <c r="D487" s="21" t="str">
        <f t="shared" si="13"/>
        <v>بانک اقتصاد نوین</v>
      </c>
      <c r="E487" s="74" t="s">
        <v>464</v>
      </c>
      <c r="G487" s="20">
        <v>3500023587</v>
      </c>
    </row>
    <row r="488" spans="1:8" ht="42.75" customHeight="1">
      <c r="A488" s="1">
        <v>485</v>
      </c>
      <c r="B488" s="21" t="s">
        <v>479</v>
      </c>
      <c r="C488" s="1">
        <v>905821</v>
      </c>
      <c r="D488" s="21" t="str">
        <f t="shared" si="13"/>
        <v>بانک اقتصاد نوین</v>
      </c>
      <c r="E488" s="74" t="s">
        <v>478</v>
      </c>
      <c r="F488" s="89"/>
      <c r="G488" s="20">
        <f>591420127+1427690660</f>
        <v>2019110787</v>
      </c>
      <c r="H488" s="90"/>
    </row>
    <row r="489" spans="1:8" ht="42.75" customHeight="1">
      <c r="A489" s="1">
        <v>486</v>
      </c>
      <c r="B489" s="21" t="s">
        <v>479</v>
      </c>
      <c r="C489" s="1">
        <v>905822</v>
      </c>
      <c r="D489" s="21" t="str">
        <f t="shared" si="13"/>
        <v>بانک اقتصاد نوین</v>
      </c>
      <c r="E489" s="74" t="s">
        <v>477</v>
      </c>
      <c r="G489" s="20">
        <v>35925000</v>
      </c>
    </row>
    <row r="490" spans="1:8" ht="42.75" customHeight="1">
      <c r="A490" s="1">
        <v>487</v>
      </c>
      <c r="B490" s="21" t="s">
        <v>479</v>
      </c>
      <c r="C490" s="1">
        <v>905823</v>
      </c>
      <c r="D490" s="21" t="str">
        <f>D489</f>
        <v>بانک اقتصاد نوین</v>
      </c>
      <c r="E490" s="74" t="s">
        <v>390</v>
      </c>
      <c r="G490" s="20">
        <v>35000000000</v>
      </c>
    </row>
    <row r="491" spans="1:8" ht="42.75" customHeight="1">
      <c r="A491" s="1">
        <v>488</v>
      </c>
      <c r="B491" s="21" t="s">
        <v>479</v>
      </c>
      <c r="C491" s="1">
        <v>905824</v>
      </c>
      <c r="D491" s="21" t="str">
        <f>D482</f>
        <v>بانک اقتصاد نوین</v>
      </c>
      <c r="E491" s="74" t="s">
        <v>480</v>
      </c>
      <c r="H491" s="20" t="s">
        <v>481</v>
      </c>
    </row>
    <row r="492" spans="1:8" ht="42.75" customHeight="1">
      <c r="A492" s="1">
        <v>489</v>
      </c>
      <c r="B492" s="21" t="s">
        <v>479</v>
      </c>
      <c r="C492" s="1">
        <v>905825</v>
      </c>
      <c r="D492" s="21" t="str">
        <f>D484</f>
        <v>بانک اقتصاد نوین</v>
      </c>
      <c r="E492" s="74" t="s">
        <v>480</v>
      </c>
      <c r="F492" s="94"/>
      <c r="G492" s="20">
        <v>225000000000</v>
      </c>
      <c r="H492" s="95"/>
    </row>
    <row r="493" spans="1:8" ht="42.75" customHeight="1">
      <c r="A493" s="1">
        <v>490</v>
      </c>
      <c r="B493" s="21" t="s">
        <v>482</v>
      </c>
      <c r="C493" s="1">
        <v>905826</v>
      </c>
      <c r="D493" s="21" t="s">
        <v>483</v>
      </c>
      <c r="E493" s="74" t="s">
        <v>484</v>
      </c>
      <c r="F493" s="94"/>
      <c r="G493" s="20">
        <f>G492</f>
        <v>225000000000</v>
      </c>
      <c r="H493" s="95"/>
    </row>
    <row r="494" spans="1:8" ht="42.75" customHeight="1">
      <c r="A494" s="1">
        <v>491</v>
      </c>
      <c r="B494" s="21"/>
      <c r="C494" s="1">
        <v>905827</v>
      </c>
      <c r="D494" s="21" t="s">
        <v>483</v>
      </c>
      <c r="E494" s="74"/>
      <c r="F494" s="94"/>
      <c r="G494" s="20">
        <v>2880000000000</v>
      </c>
      <c r="H494" s="95"/>
    </row>
    <row r="495" spans="1:8" ht="42.75" customHeight="1">
      <c r="A495" s="1">
        <v>492</v>
      </c>
      <c r="B495" s="21" t="s">
        <v>486</v>
      </c>
      <c r="C495" s="1">
        <v>905828</v>
      </c>
      <c r="D495" s="21" t="str">
        <f>D491</f>
        <v>بانک اقتصاد نوین</v>
      </c>
      <c r="E495" s="74" t="s">
        <v>485</v>
      </c>
      <c r="G495" s="20">
        <v>26200000000</v>
      </c>
    </row>
    <row r="496" spans="1:8" ht="42.75" customHeight="1">
      <c r="A496" s="1">
        <v>493</v>
      </c>
      <c r="B496" s="21" t="s">
        <v>488</v>
      </c>
      <c r="C496" s="1">
        <v>905829</v>
      </c>
      <c r="D496" s="21" t="str">
        <f>D492</f>
        <v>بانک اقتصاد نوین</v>
      </c>
      <c r="E496" s="74" t="s">
        <v>255</v>
      </c>
      <c r="F496" s="97"/>
      <c r="G496" s="20">
        <v>100000000000</v>
      </c>
      <c r="H496" s="98"/>
    </row>
    <row r="497" spans="1:8" ht="42.75" customHeight="1">
      <c r="A497" s="1">
        <v>494</v>
      </c>
      <c r="B497" s="21" t="s">
        <v>488</v>
      </c>
      <c r="C497" s="1">
        <v>905830</v>
      </c>
      <c r="D497" s="21" t="s">
        <v>34</v>
      </c>
      <c r="E497" s="74" t="s">
        <v>322</v>
      </c>
      <c r="F497" s="97"/>
      <c r="G497" s="20">
        <v>50000000</v>
      </c>
      <c r="H497" s="98"/>
    </row>
    <row r="498" spans="1:8" ht="42.75" customHeight="1">
      <c r="A498" s="1">
        <v>495</v>
      </c>
      <c r="B498" s="21" t="s">
        <v>488</v>
      </c>
      <c r="C498" s="1">
        <v>905831</v>
      </c>
      <c r="D498" s="21" t="s">
        <v>34</v>
      </c>
      <c r="E498" s="74" t="s">
        <v>296</v>
      </c>
      <c r="F498" s="97"/>
      <c r="G498" s="20">
        <v>970000000</v>
      </c>
      <c r="H498" s="98"/>
    </row>
    <row r="499" spans="1:8" ht="42.75" customHeight="1">
      <c r="A499" s="1">
        <v>496</v>
      </c>
      <c r="B499" s="21" t="s">
        <v>488</v>
      </c>
      <c r="C499" s="1">
        <v>905832</v>
      </c>
      <c r="D499" s="21" t="s">
        <v>34</v>
      </c>
      <c r="E499" s="92" t="s">
        <v>487</v>
      </c>
      <c r="F499" s="97"/>
      <c r="G499" s="20">
        <v>48393000</v>
      </c>
      <c r="H499" s="98"/>
    </row>
    <row r="500" spans="1:8" ht="42.75" customHeight="1">
      <c r="A500" s="1">
        <v>497</v>
      </c>
      <c r="B500" s="21" t="s">
        <v>488</v>
      </c>
      <c r="C500" s="1">
        <v>905833</v>
      </c>
      <c r="D500" s="21" t="s">
        <v>34</v>
      </c>
      <c r="E500" s="92" t="s">
        <v>489</v>
      </c>
      <c r="F500" s="97"/>
      <c r="G500" s="20">
        <v>163282000</v>
      </c>
      <c r="H500" s="98"/>
    </row>
    <row r="501" spans="1:8" ht="42.75" customHeight="1">
      <c r="A501" s="1">
        <v>498</v>
      </c>
      <c r="B501" s="21" t="s">
        <v>490</v>
      </c>
      <c r="C501" s="1">
        <v>905834</v>
      </c>
      <c r="D501" s="21" t="s">
        <v>34</v>
      </c>
      <c r="E501" s="92" t="s">
        <v>491</v>
      </c>
      <c r="F501" s="97"/>
      <c r="G501" s="20">
        <v>18933300</v>
      </c>
      <c r="H501" s="98"/>
    </row>
    <row r="502" spans="1:8" ht="42.75" customHeight="1">
      <c r="A502" s="1">
        <v>499</v>
      </c>
      <c r="B502" s="96" t="s">
        <v>490</v>
      </c>
      <c r="C502" s="1">
        <v>905835</v>
      </c>
      <c r="D502" s="21" t="s">
        <v>34</v>
      </c>
      <c r="E502" s="92" t="s">
        <v>477</v>
      </c>
      <c r="F502" s="97"/>
      <c r="G502" s="20">
        <v>45690000</v>
      </c>
      <c r="H502" s="98"/>
    </row>
    <row r="503" spans="1:8" ht="42.75" customHeight="1">
      <c r="A503" s="1">
        <v>500</v>
      </c>
      <c r="B503" s="96" t="s">
        <v>490</v>
      </c>
      <c r="C503" s="1">
        <v>905836</v>
      </c>
      <c r="D503" s="21" t="s">
        <v>34</v>
      </c>
      <c r="E503" s="74" t="s">
        <v>492</v>
      </c>
      <c r="F503" s="97"/>
      <c r="G503" s="20">
        <v>35000000</v>
      </c>
      <c r="H503" s="98"/>
    </row>
    <row r="504" spans="1:8" ht="42.75" customHeight="1">
      <c r="A504" s="1">
        <v>501</v>
      </c>
      <c r="B504" s="21" t="s">
        <v>490</v>
      </c>
      <c r="C504" s="1">
        <v>905837</v>
      </c>
      <c r="D504" s="21" t="s">
        <v>34</v>
      </c>
      <c r="E504" s="92" t="s">
        <v>493</v>
      </c>
      <c r="F504" s="97"/>
      <c r="G504" s="20">
        <v>135000000</v>
      </c>
      <c r="H504" s="98"/>
    </row>
    <row r="505" spans="1:8" ht="42.75" customHeight="1">
      <c r="A505" s="1">
        <v>502</v>
      </c>
      <c r="B505" s="21" t="s">
        <v>494</v>
      </c>
      <c r="C505" s="1">
        <v>905838</v>
      </c>
      <c r="D505" s="21" t="s">
        <v>34</v>
      </c>
      <c r="E505" s="74" t="s">
        <v>316</v>
      </c>
      <c r="F505" s="101"/>
      <c r="G505" s="20">
        <v>250000000</v>
      </c>
      <c r="H505" s="102"/>
    </row>
    <row r="506" spans="1:8" ht="42.75" customHeight="1">
      <c r="A506" s="1">
        <v>503</v>
      </c>
      <c r="B506" s="21" t="s">
        <v>496</v>
      </c>
      <c r="C506" s="1">
        <v>905839</v>
      </c>
      <c r="D506" s="21" t="s">
        <v>34</v>
      </c>
      <c r="E506" s="74" t="s">
        <v>243</v>
      </c>
      <c r="F506" s="101"/>
      <c r="G506" s="20">
        <v>1916388695</v>
      </c>
      <c r="H506" s="102"/>
    </row>
    <row r="507" spans="1:8" ht="42.75" customHeight="1">
      <c r="A507" s="1">
        <v>504</v>
      </c>
      <c r="B507" s="21" t="s">
        <v>496</v>
      </c>
      <c r="C507" s="1">
        <v>905840</v>
      </c>
      <c r="D507" s="21" t="s">
        <v>34</v>
      </c>
      <c r="E507" s="74" t="s">
        <v>495</v>
      </c>
      <c r="F507" s="101"/>
      <c r="G507" s="20">
        <v>888997778</v>
      </c>
      <c r="H507" s="102"/>
    </row>
    <row r="508" spans="1:8" ht="42.75" customHeight="1">
      <c r="A508" s="1">
        <v>505</v>
      </c>
      <c r="B508" s="21" t="s">
        <v>497</v>
      </c>
      <c r="C508" s="1">
        <v>905841</v>
      </c>
      <c r="D508" s="21" t="s">
        <v>34</v>
      </c>
      <c r="E508" s="74" t="s">
        <v>499</v>
      </c>
      <c r="F508" s="101"/>
      <c r="G508" s="102">
        <v>2500000000</v>
      </c>
      <c r="H508" s="102"/>
    </row>
    <row r="509" spans="1:8" ht="42.75" customHeight="1">
      <c r="A509" s="1">
        <v>506</v>
      </c>
      <c r="B509" s="21" t="s">
        <v>497</v>
      </c>
      <c r="C509" s="1">
        <v>905843</v>
      </c>
      <c r="D509" s="21" t="s">
        <v>34</v>
      </c>
      <c r="E509" s="92" t="s">
        <v>498</v>
      </c>
      <c r="F509" s="101"/>
      <c r="G509" s="102">
        <v>28530638</v>
      </c>
      <c r="H509" s="102"/>
    </row>
    <row r="510" spans="1:8" ht="42.75" customHeight="1">
      <c r="A510" s="1">
        <v>507</v>
      </c>
      <c r="B510" s="100" t="s">
        <v>496</v>
      </c>
      <c r="C510" s="1">
        <v>905842</v>
      </c>
      <c r="D510" s="21" t="s">
        <v>34</v>
      </c>
      <c r="E510" s="74" t="s">
        <v>322</v>
      </c>
      <c r="F510" s="101"/>
      <c r="G510" s="102">
        <v>30000000</v>
      </c>
      <c r="H510" s="102"/>
    </row>
    <row r="511" spans="1:8" ht="42.75" customHeight="1">
      <c r="A511" s="1">
        <v>508</v>
      </c>
      <c r="B511" s="21" t="s">
        <v>502</v>
      </c>
      <c r="C511" s="1">
        <v>905844</v>
      </c>
      <c r="D511" s="21" t="s">
        <v>34</v>
      </c>
      <c r="E511" s="74" t="s">
        <v>210</v>
      </c>
      <c r="F511" s="101"/>
      <c r="H511" s="102"/>
    </row>
    <row r="512" spans="1:8" ht="42.75" customHeight="1">
      <c r="A512" s="1">
        <v>509</v>
      </c>
      <c r="B512" s="21" t="s">
        <v>500</v>
      </c>
      <c r="C512" s="1">
        <v>905845</v>
      </c>
      <c r="D512" s="21" t="s">
        <v>34</v>
      </c>
      <c r="E512" s="74" t="s">
        <v>501</v>
      </c>
      <c r="G512" s="20">
        <v>30000000</v>
      </c>
    </row>
    <row r="513" spans="1:8" ht="42.75" customHeight="1">
      <c r="A513" s="1">
        <v>510</v>
      </c>
      <c r="B513" s="21" t="s">
        <v>502</v>
      </c>
      <c r="C513" s="1">
        <v>905846</v>
      </c>
      <c r="D513" s="21" t="s">
        <v>34</v>
      </c>
      <c r="E513" s="74" t="s">
        <v>503</v>
      </c>
      <c r="F513" s="101"/>
      <c r="G513" s="102">
        <v>52700000</v>
      </c>
      <c r="H513" s="102"/>
    </row>
    <row r="514" spans="1:8" ht="42.75" customHeight="1">
      <c r="A514" s="1">
        <v>511</v>
      </c>
      <c r="B514" s="21" t="s">
        <v>502</v>
      </c>
      <c r="C514" s="1">
        <v>905847</v>
      </c>
      <c r="D514" s="21" t="s">
        <v>34</v>
      </c>
      <c r="E514" s="74" t="s">
        <v>504</v>
      </c>
      <c r="F514" s="101"/>
      <c r="G514" s="102">
        <v>44496000</v>
      </c>
      <c r="H514" s="102"/>
    </row>
    <row r="515" spans="1:8" ht="42.75" customHeight="1">
      <c r="A515" s="1">
        <v>512</v>
      </c>
      <c r="B515" s="21" t="s">
        <v>505</v>
      </c>
      <c r="C515" s="1">
        <v>905848</v>
      </c>
      <c r="D515" s="21" t="s">
        <v>34</v>
      </c>
      <c r="E515" s="74" t="s">
        <v>506</v>
      </c>
      <c r="F515" s="101"/>
      <c r="G515" s="102">
        <v>200000000</v>
      </c>
      <c r="H515" s="102"/>
    </row>
    <row r="516" spans="1:8" ht="42.75" customHeight="1">
      <c r="A516" s="1">
        <v>513</v>
      </c>
      <c r="B516" s="21" t="s">
        <v>505</v>
      </c>
      <c r="C516" s="1">
        <v>905849</v>
      </c>
      <c r="D516" s="21" t="s">
        <v>34</v>
      </c>
      <c r="E516" s="74" t="s">
        <v>507</v>
      </c>
      <c r="F516" s="101"/>
      <c r="G516" s="102">
        <v>152800000</v>
      </c>
      <c r="H516" s="102"/>
    </row>
    <row r="517" spans="1:8" ht="42.75" customHeight="1">
      <c r="A517" s="1">
        <v>514</v>
      </c>
      <c r="B517" s="21" t="s">
        <v>508</v>
      </c>
      <c r="C517" s="1">
        <v>905850</v>
      </c>
      <c r="D517" s="21" t="s">
        <v>34</v>
      </c>
      <c r="E517" s="74" t="s">
        <v>512</v>
      </c>
      <c r="F517" s="101"/>
      <c r="G517" s="102">
        <v>100000000</v>
      </c>
      <c r="H517" s="102"/>
    </row>
    <row r="518" spans="1:8" ht="42.75" customHeight="1">
      <c r="A518" s="1">
        <v>515</v>
      </c>
      <c r="B518" s="21" t="s">
        <v>508</v>
      </c>
      <c r="C518" s="1">
        <v>498251</v>
      </c>
      <c r="D518" s="21" t="s">
        <v>34</v>
      </c>
      <c r="E518" s="74" t="s">
        <v>509</v>
      </c>
      <c r="F518" s="101"/>
      <c r="G518" s="102">
        <v>48668500</v>
      </c>
      <c r="H518" s="102"/>
    </row>
    <row r="519" spans="1:8" ht="42.75" customHeight="1">
      <c r="A519" s="1">
        <v>516</v>
      </c>
      <c r="B519" s="21" t="s">
        <v>508</v>
      </c>
      <c r="C519" s="1">
        <v>498252</v>
      </c>
      <c r="D519" s="21" t="s">
        <v>34</v>
      </c>
      <c r="E519" s="74" t="s">
        <v>510</v>
      </c>
      <c r="F519" s="101"/>
      <c r="G519" s="102">
        <v>292120000</v>
      </c>
      <c r="H519" s="102"/>
    </row>
    <row r="520" spans="1:8" ht="42.75" customHeight="1">
      <c r="A520" s="1">
        <v>517</v>
      </c>
      <c r="B520" s="21" t="s">
        <v>508</v>
      </c>
      <c r="C520" s="1">
        <v>498253</v>
      </c>
      <c r="D520" s="21" t="s">
        <v>34</v>
      </c>
      <c r="E520" s="74" t="s">
        <v>511</v>
      </c>
      <c r="F520" s="101"/>
      <c r="G520" s="102">
        <v>23772900</v>
      </c>
      <c r="H520" s="102"/>
    </row>
    <row r="521" spans="1:8" ht="42.75" customHeight="1">
      <c r="A521" s="1">
        <v>518</v>
      </c>
      <c r="B521" s="21" t="s">
        <v>508</v>
      </c>
      <c r="C521" s="1">
        <v>498254</v>
      </c>
      <c r="D521" s="21" t="s">
        <v>34</v>
      </c>
      <c r="E521" s="74" t="s">
        <v>512</v>
      </c>
      <c r="F521" s="101"/>
      <c r="G521" s="102">
        <v>100000000</v>
      </c>
      <c r="H521" s="102"/>
    </row>
    <row r="522" spans="1:8" ht="42.75" customHeight="1">
      <c r="A522" s="1">
        <v>519</v>
      </c>
      <c r="B522" s="21" t="s">
        <v>513</v>
      </c>
      <c r="C522" s="1">
        <v>498255</v>
      </c>
      <c r="D522" s="21" t="s">
        <v>34</v>
      </c>
      <c r="E522" s="74" t="s">
        <v>514</v>
      </c>
      <c r="F522" s="101"/>
      <c r="G522" s="102">
        <v>600000000</v>
      </c>
      <c r="H522" s="102"/>
    </row>
    <row r="523" spans="1:8" ht="42.75" customHeight="1">
      <c r="A523" s="1">
        <v>520</v>
      </c>
      <c r="B523" s="21" t="s">
        <v>513</v>
      </c>
      <c r="C523" s="1">
        <v>498256</v>
      </c>
      <c r="D523" s="21" t="s">
        <v>34</v>
      </c>
      <c r="E523" s="74" t="s">
        <v>516</v>
      </c>
      <c r="F523" s="101"/>
      <c r="G523" s="102">
        <v>48886500</v>
      </c>
      <c r="H523" s="102"/>
    </row>
    <row r="524" spans="1:8" ht="42.75" customHeight="1">
      <c r="A524" s="1">
        <v>521</v>
      </c>
      <c r="B524" s="21" t="s">
        <v>513</v>
      </c>
      <c r="C524" s="1">
        <v>498257</v>
      </c>
      <c r="D524" s="21" t="s">
        <v>34</v>
      </c>
      <c r="E524" s="74" t="s">
        <v>517</v>
      </c>
      <c r="F524" s="101"/>
      <c r="G524" s="102">
        <v>14275000</v>
      </c>
      <c r="H524" s="102"/>
    </row>
    <row r="525" spans="1:8" ht="42.75" customHeight="1">
      <c r="A525" s="1">
        <v>522</v>
      </c>
      <c r="B525" s="21" t="s">
        <v>513</v>
      </c>
      <c r="C525" s="1">
        <v>498258</v>
      </c>
      <c r="D525" s="21" t="s">
        <v>34</v>
      </c>
      <c r="E525" s="74" t="s">
        <v>518</v>
      </c>
      <c r="F525" s="101"/>
      <c r="G525" s="102">
        <v>21580000</v>
      </c>
      <c r="H525" s="102"/>
    </row>
    <row r="526" spans="1:8" ht="42.75" customHeight="1">
      <c r="A526" s="1">
        <v>523</v>
      </c>
      <c r="B526" s="21" t="s">
        <v>513</v>
      </c>
      <c r="C526" s="1">
        <v>498259</v>
      </c>
      <c r="D526" s="21" t="s">
        <v>34</v>
      </c>
      <c r="E526" s="74" t="s">
        <v>519</v>
      </c>
      <c r="F526" s="101"/>
      <c r="G526" s="102">
        <v>99408000</v>
      </c>
      <c r="H526" s="102"/>
    </row>
    <row r="527" spans="1:8" ht="42.75" customHeight="1">
      <c r="A527" s="1">
        <v>524</v>
      </c>
      <c r="B527" s="21" t="s">
        <v>515</v>
      </c>
      <c r="C527" s="1">
        <v>498260</v>
      </c>
      <c r="D527" s="21" t="s">
        <v>34</v>
      </c>
      <c r="E527" s="74" t="s">
        <v>520</v>
      </c>
      <c r="F527" s="101"/>
      <c r="G527" s="102">
        <v>161145600</v>
      </c>
      <c r="H527" s="102"/>
    </row>
    <row r="528" spans="1:8" ht="42.75" customHeight="1">
      <c r="A528" s="1">
        <v>525</v>
      </c>
      <c r="B528" s="21" t="s">
        <v>515</v>
      </c>
      <c r="C528" s="1">
        <v>498261</v>
      </c>
      <c r="D528" s="21" t="s">
        <v>34</v>
      </c>
      <c r="E528" s="74" t="s">
        <v>521</v>
      </c>
      <c r="F528" s="101"/>
      <c r="G528" s="102">
        <v>40000000</v>
      </c>
      <c r="H528" s="102"/>
    </row>
    <row r="529" spans="1:8" ht="42.75" customHeight="1">
      <c r="A529" s="1">
        <v>526</v>
      </c>
      <c r="B529" s="21" t="s">
        <v>482</v>
      </c>
      <c r="C529" s="1">
        <v>498262</v>
      </c>
      <c r="D529" s="21" t="s">
        <v>34</v>
      </c>
      <c r="E529" s="74" t="s">
        <v>522</v>
      </c>
      <c r="F529" s="101"/>
      <c r="G529" s="102">
        <v>332450000</v>
      </c>
      <c r="H529" s="102"/>
    </row>
    <row r="530" spans="1:8" ht="42.75" customHeight="1">
      <c r="A530" s="1">
        <v>527</v>
      </c>
      <c r="B530" s="21" t="s">
        <v>482</v>
      </c>
      <c r="C530" s="1">
        <v>498263</v>
      </c>
      <c r="D530" s="21" t="s">
        <v>34</v>
      </c>
      <c r="E530" s="74" t="s">
        <v>390</v>
      </c>
      <c r="F530" s="101"/>
      <c r="G530" s="102">
        <v>1050000000</v>
      </c>
      <c r="H530" s="102"/>
    </row>
    <row r="531" spans="1:8" ht="42.75" customHeight="1">
      <c r="A531" s="1">
        <v>528</v>
      </c>
      <c r="B531" s="21" t="s">
        <v>523</v>
      </c>
      <c r="C531" s="1">
        <v>498264</v>
      </c>
      <c r="D531" s="21" t="s">
        <v>34</v>
      </c>
      <c r="E531" s="74" t="s">
        <v>524</v>
      </c>
      <c r="F531" s="101"/>
      <c r="G531" s="102">
        <v>1128938103</v>
      </c>
      <c r="H531" s="102"/>
    </row>
    <row r="532" spans="1:8" ht="42.75" customHeight="1">
      <c r="A532" s="1">
        <v>529</v>
      </c>
      <c r="B532" s="21" t="s">
        <v>525</v>
      </c>
      <c r="C532" s="1">
        <v>498265</v>
      </c>
      <c r="D532" s="21" t="s">
        <v>34</v>
      </c>
      <c r="E532" s="74" t="s">
        <v>527</v>
      </c>
      <c r="F532" s="101"/>
      <c r="G532" s="102">
        <v>300000000</v>
      </c>
      <c r="H532" s="102"/>
    </row>
    <row r="533" spans="1:8" ht="42.75" customHeight="1">
      <c r="A533" s="1">
        <v>530</v>
      </c>
      <c r="B533" s="21" t="s">
        <v>525</v>
      </c>
      <c r="C533" s="1">
        <v>498266</v>
      </c>
      <c r="D533" s="21" t="s">
        <v>34</v>
      </c>
      <c r="E533" s="74" t="s">
        <v>528</v>
      </c>
      <c r="F533" s="101"/>
      <c r="G533" s="102">
        <v>5940500</v>
      </c>
      <c r="H533" s="102"/>
    </row>
    <row r="534" spans="1:8" ht="42.75" customHeight="1">
      <c r="A534" s="1">
        <v>531</v>
      </c>
      <c r="B534" s="21" t="s">
        <v>525</v>
      </c>
      <c r="C534" s="1">
        <v>498267</v>
      </c>
      <c r="D534" s="21" t="s">
        <v>34</v>
      </c>
      <c r="E534" s="74" t="s">
        <v>526</v>
      </c>
      <c r="F534" s="101"/>
      <c r="G534" s="102">
        <v>50000000</v>
      </c>
      <c r="H534" s="102"/>
    </row>
    <row r="535" spans="1:8" ht="42.75" customHeight="1">
      <c r="A535" s="1">
        <v>532</v>
      </c>
      <c r="B535" s="21" t="s">
        <v>529</v>
      </c>
      <c r="C535" s="1">
        <v>498268</v>
      </c>
      <c r="D535" s="21" t="s">
        <v>34</v>
      </c>
      <c r="E535" s="74" t="s">
        <v>530</v>
      </c>
      <c r="F535" s="101"/>
      <c r="G535" s="102">
        <v>204000000</v>
      </c>
      <c r="H535" s="102"/>
    </row>
    <row r="536" spans="1:8" ht="42.75" customHeight="1">
      <c r="A536" s="1">
        <v>533</v>
      </c>
      <c r="B536" s="21" t="s">
        <v>529</v>
      </c>
      <c r="C536" s="1">
        <v>498269</v>
      </c>
      <c r="D536" s="21" t="s">
        <v>34</v>
      </c>
      <c r="E536" s="74" t="s">
        <v>531</v>
      </c>
      <c r="F536" s="101"/>
      <c r="G536" s="102">
        <v>46325000</v>
      </c>
      <c r="H536" s="102"/>
    </row>
    <row r="537" spans="1:8" ht="42.75" customHeight="1">
      <c r="A537" s="1">
        <v>534</v>
      </c>
      <c r="B537" s="21" t="s">
        <v>529</v>
      </c>
      <c r="C537" s="1">
        <v>498270</v>
      </c>
      <c r="D537" s="21" t="s">
        <v>34</v>
      </c>
      <c r="E537" s="74" t="s">
        <v>532</v>
      </c>
      <c r="F537" s="101"/>
      <c r="G537" s="102">
        <v>45000000</v>
      </c>
      <c r="H537" s="102"/>
    </row>
    <row r="538" spans="1:8" ht="42.75" customHeight="1">
      <c r="A538" s="1">
        <v>535</v>
      </c>
      <c r="B538" s="21" t="s">
        <v>533</v>
      </c>
      <c r="C538" s="1">
        <v>498271</v>
      </c>
      <c r="D538" s="21" t="s">
        <v>34</v>
      </c>
      <c r="E538" s="74" t="s">
        <v>535</v>
      </c>
      <c r="F538" s="101"/>
      <c r="G538" s="102">
        <v>21691000</v>
      </c>
      <c r="H538" s="102"/>
    </row>
    <row r="539" spans="1:8" ht="42.75" customHeight="1">
      <c r="A539" s="1">
        <v>536</v>
      </c>
      <c r="B539" s="21" t="s">
        <v>533</v>
      </c>
      <c r="C539" s="1">
        <v>498272</v>
      </c>
      <c r="D539" s="21" t="s">
        <v>34</v>
      </c>
      <c r="E539" s="74" t="s">
        <v>534</v>
      </c>
      <c r="F539" s="101"/>
      <c r="G539" s="102">
        <v>24530000</v>
      </c>
      <c r="H539" s="102"/>
    </row>
    <row r="540" spans="1:8" ht="42.75" customHeight="1">
      <c r="A540" s="1">
        <v>537</v>
      </c>
      <c r="B540" s="21" t="s">
        <v>533</v>
      </c>
      <c r="C540" s="1">
        <v>498273</v>
      </c>
      <c r="D540" s="21" t="s">
        <v>34</v>
      </c>
      <c r="E540" s="74" t="s">
        <v>536</v>
      </c>
      <c r="F540" s="101"/>
      <c r="G540" s="102">
        <v>54900000</v>
      </c>
      <c r="H540" s="102"/>
    </row>
    <row r="541" spans="1:8" ht="42.75" customHeight="1">
      <c r="A541" s="1">
        <v>538</v>
      </c>
      <c r="B541" s="21" t="s">
        <v>533</v>
      </c>
      <c r="C541" s="1">
        <v>498274</v>
      </c>
      <c r="D541" s="21" t="s">
        <v>34</v>
      </c>
      <c r="E541" s="74" t="s">
        <v>538</v>
      </c>
      <c r="F541" s="101"/>
      <c r="G541" s="102">
        <v>147430000</v>
      </c>
      <c r="H541" s="102"/>
    </row>
    <row r="542" spans="1:8" ht="42.75" customHeight="1">
      <c r="A542" s="1">
        <v>539</v>
      </c>
      <c r="B542" s="21" t="s">
        <v>533</v>
      </c>
      <c r="C542" s="1">
        <v>498275</v>
      </c>
      <c r="D542" s="21" t="s">
        <v>34</v>
      </c>
      <c r="E542" s="74" t="s">
        <v>539</v>
      </c>
      <c r="F542" s="101"/>
      <c r="G542" s="102">
        <v>151000000</v>
      </c>
      <c r="H542" s="102"/>
    </row>
    <row r="543" spans="1:8" ht="42.75" customHeight="1">
      <c r="A543" s="1">
        <v>540</v>
      </c>
      <c r="B543" s="21" t="s">
        <v>540</v>
      </c>
      <c r="C543" s="1">
        <v>498276</v>
      </c>
      <c r="D543" s="21" t="s">
        <v>34</v>
      </c>
      <c r="E543" s="74" t="s">
        <v>527</v>
      </c>
      <c r="F543" s="101"/>
      <c r="G543" s="102">
        <v>300000000</v>
      </c>
      <c r="H543" s="102"/>
    </row>
    <row r="544" spans="1:8" ht="42.75" customHeight="1">
      <c r="A544" s="1">
        <v>541</v>
      </c>
      <c r="B544" s="21" t="s">
        <v>540</v>
      </c>
      <c r="C544" s="1">
        <v>498277</v>
      </c>
      <c r="D544" s="21" t="s">
        <v>34</v>
      </c>
      <c r="E544" s="74" t="s">
        <v>526</v>
      </c>
      <c r="F544" s="101"/>
      <c r="G544" s="102">
        <v>50000000</v>
      </c>
      <c r="H544" s="102"/>
    </row>
    <row r="545" spans="1:8" ht="42.75" customHeight="1">
      <c r="A545" s="1">
        <v>542</v>
      </c>
      <c r="B545" s="21" t="s">
        <v>540</v>
      </c>
      <c r="C545" s="1">
        <v>498278</v>
      </c>
      <c r="D545" s="21" t="s">
        <v>34</v>
      </c>
      <c r="E545" s="74" t="s">
        <v>541</v>
      </c>
      <c r="F545" s="101"/>
      <c r="G545" s="102">
        <v>2057995685</v>
      </c>
      <c r="H545" s="102"/>
    </row>
    <row r="546" spans="1:8" ht="42.75" customHeight="1">
      <c r="A546" s="1">
        <v>543</v>
      </c>
      <c r="B546" s="21" t="s">
        <v>540</v>
      </c>
      <c r="C546" s="1">
        <v>498279</v>
      </c>
      <c r="D546" s="21" t="s">
        <v>34</v>
      </c>
      <c r="E546" s="74" t="s">
        <v>542</v>
      </c>
      <c r="F546" s="103"/>
      <c r="G546" s="104">
        <v>866658338</v>
      </c>
      <c r="H546" s="104"/>
    </row>
    <row r="547" spans="1:8" ht="42.75" customHeight="1">
      <c r="A547" s="1">
        <v>544</v>
      </c>
      <c r="B547" s="21" t="s">
        <v>540</v>
      </c>
      <c r="C547" s="1">
        <v>498280</v>
      </c>
      <c r="D547" s="21" t="s">
        <v>34</v>
      </c>
      <c r="E547" s="150" t="s">
        <v>499</v>
      </c>
      <c r="F547" s="103"/>
      <c r="G547" s="104">
        <v>2500000000</v>
      </c>
      <c r="H547" s="104"/>
    </row>
    <row r="548" spans="1:8" ht="42.75" customHeight="1">
      <c r="A548" s="1">
        <v>545</v>
      </c>
      <c r="B548" s="21" t="s">
        <v>540</v>
      </c>
      <c r="C548" s="1">
        <v>498281</v>
      </c>
      <c r="D548" s="21" t="s">
        <v>34</v>
      </c>
      <c r="E548" s="151" t="s">
        <v>544</v>
      </c>
      <c r="F548" s="103"/>
      <c r="G548" s="104">
        <v>70000000</v>
      </c>
      <c r="H548" s="104"/>
    </row>
    <row r="549" spans="1:8" ht="42.75" customHeight="1">
      <c r="A549" s="1">
        <v>546</v>
      </c>
      <c r="B549" s="21" t="s">
        <v>540</v>
      </c>
      <c r="C549" s="1">
        <v>498282</v>
      </c>
      <c r="D549" s="21" t="s">
        <v>34</v>
      </c>
      <c r="E549" s="151" t="s">
        <v>543</v>
      </c>
      <c r="F549" s="103"/>
      <c r="G549" s="104">
        <v>127500000</v>
      </c>
      <c r="H549" s="104"/>
    </row>
    <row r="550" spans="1:8" ht="42.75" customHeight="1">
      <c r="A550" s="1">
        <v>547</v>
      </c>
      <c r="B550" s="21" t="s">
        <v>545</v>
      </c>
      <c r="C550" s="1">
        <v>498283</v>
      </c>
      <c r="D550" s="21" t="s">
        <v>34</v>
      </c>
      <c r="E550" s="74" t="s">
        <v>526</v>
      </c>
      <c r="F550" s="103"/>
      <c r="G550" s="104">
        <v>50000000</v>
      </c>
      <c r="H550" s="104"/>
    </row>
    <row r="551" spans="1:8" ht="42.75" customHeight="1">
      <c r="A551" s="1">
        <v>548</v>
      </c>
      <c r="B551" s="21" t="s">
        <v>546</v>
      </c>
      <c r="C551" s="1">
        <v>498284</v>
      </c>
      <c r="D551" s="21" t="s">
        <v>34</v>
      </c>
      <c r="E551" s="74" t="s">
        <v>526</v>
      </c>
      <c r="G551" s="20">
        <v>50000000</v>
      </c>
    </row>
    <row r="552" spans="1:8" ht="42.75" customHeight="1">
      <c r="A552" s="1">
        <v>549</v>
      </c>
      <c r="B552" s="21" t="s">
        <v>546</v>
      </c>
      <c r="C552" s="1">
        <v>498285</v>
      </c>
      <c r="D552" s="21" t="s">
        <v>34</v>
      </c>
      <c r="E552" s="74" t="s">
        <v>547</v>
      </c>
      <c r="G552" s="20">
        <v>37500000</v>
      </c>
    </row>
    <row r="553" spans="1:8" ht="42.75" customHeight="1">
      <c r="A553" s="1">
        <v>550</v>
      </c>
      <c r="B553" s="21" t="s">
        <v>548</v>
      </c>
      <c r="C553" s="1">
        <v>498286</v>
      </c>
      <c r="D553" s="21" t="s">
        <v>34</v>
      </c>
      <c r="E553" s="74" t="s">
        <v>553</v>
      </c>
      <c r="G553" s="20">
        <v>132411340</v>
      </c>
    </row>
    <row r="554" spans="1:8" ht="42.75" customHeight="1">
      <c r="A554" s="1">
        <v>551</v>
      </c>
      <c r="B554" s="21" t="s">
        <v>552</v>
      </c>
      <c r="C554" s="1">
        <v>498287</v>
      </c>
      <c r="D554" s="21" t="s">
        <v>34</v>
      </c>
      <c r="E554" s="74" t="s">
        <v>551</v>
      </c>
      <c r="G554" s="20">
        <v>3000000000</v>
      </c>
    </row>
    <row r="555" spans="1:8" ht="42.75" customHeight="1">
      <c r="A555" s="1">
        <v>552</v>
      </c>
      <c r="B555" s="21" t="s">
        <v>554</v>
      </c>
      <c r="C555" s="1">
        <v>498288</v>
      </c>
      <c r="D555" s="21" t="s">
        <v>34</v>
      </c>
      <c r="E555" s="74" t="s">
        <v>339</v>
      </c>
      <c r="G555" s="20">
        <v>34110000</v>
      </c>
    </row>
    <row r="556" spans="1:8" ht="42.75" customHeight="1">
      <c r="A556" s="1">
        <v>553</v>
      </c>
      <c r="B556" s="21" t="s">
        <v>554</v>
      </c>
      <c r="C556" s="1">
        <v>498289</v>
      </c>
      <c r="D556" s="21" t="s">
        <v>34</v>
      </c>
      <c r="E556" s="151" t="s">
        <v>555</v>
      </c>
      <c r="G556" s="20">
        <v>70000000</v>
      </c>
    </row>
    <row r="557" spans="1:8" ht="42.75" customHeight="1">
      <c r="A557" s="1">
        <v>554</v>
      </c>
      <c r="B557" s="21" t="s">
        <v>554</v>
      </c>
      <c r="C557" s="1">
        <v>498290</v>
      </c>
      <c r="D557" s="21" t="s">
        <v>34</v>
      </c>
      <c r="E557" s="74" t="s">
        <v>556</v>
      </c>
      <c r="G557" s="20">
        <v>400000000</v>
      </c>
    </row>
    <row r="558" spans="1:8" ht="42.75" customHeight="1">
      <c r="A558" s="1">
        <v>555</v>
      </c>
      <c r="B558" s="21" t="s">
        <v>554</v>
      </c>
      <c r="C558" s="1">
        <v>498291</v>
      </c>
      <c r="D558" s="21" t="s">
        <v>34</v>
      </c>
      <c r="E558" s="74" t="s">
        <v>526</v>
      </c>
      <c r="G558" s="20">
        <v>50000000</v>
      </c>
    </row>
    <row r="559" spans="1:8" ht="42.75" customHeight="1">
      <c r="A559" s="1">
        <v>556</v>
      </c>
      <c r="B559" s="21" t="s">
        <v>558</v>
      </c>
      <c r="C559" s="1">
        <v>498292</v>
      </c>
      <c r="D559" s="21" t="s">
        <v>34</v>
      </c>
      <c r="E559" s="74" t="s">
        <v>557</v>
      </c>
      <c r="G559" s="20">
        <v>300000000</v>
      </c>
    </row>
    <row r="560" spans="1:8" ht="42.75" customHeight="1">
      <c r="A560" s="1">
        <v>557</v>
      </c>
      <c r="B560" s="21" t="s">
        <v>558</v>
      </c>
      <c r="C560" s="1">
        <v>498293</v>
      </c>
      <c r="D560" s="21" t="s">
        <v>34</v>
      </c>
      <c r="E560" s="74" t="s">
        <v>559</v>
      </c>
      <c r="G560" s="20">
        <v>240000000</v>
      </c>
      <c r="H560" s="20">
        <v>39035700285</v>
      </c>
    </row>
    <row r="561" spans="1:8" ht="42.75" customHeight="1">
      <c r="A561" s="1">
        <v>558</v>
      </c>
      <c r="B561" s="21" t="s">
        <v>561</v>
      </c>
      <c r="C561" s="1">
        <v>498294</v>
      </c>
      <c r="D561" s="21" t="s">
        <v>34</v>
      </c>
      <c r="E561" s="74" t="s">
        <v>560</v>
      </c>
      <c r="G561" s="20">
        <v>500000000</v>
      </c>
      <c r="H561" s="20">
        <f>H560+Table13[[#This Row],[مبلغ ورود]]-Table13[[#This Row],[مبلغ خروج]]</f>
        <v>38535700285</v>
      </c>
    </row>
    <row r="562" spans="1:8" ht="42.75" customHeight="1">
      <c r="A562" s="1">
        <v>559</v>
      </c>
      <c r="B562" s="21" t="s">
        <v>561</v>
      </c>
      <c r="C562" s="1">
        <v>498295</v>
      </c>
      <c r="D562" s="21" t="s">
        <v>34</v>
      </c>
      <c r="E562" s="150" t="s">
        <v>499</v>
      </c>
      <c r="G562" s="20">
        <v>3000000000</v>
      </c>
      <c r="H562" s="20">
        <f>H561+Table13[[#This Row],[مبلغ ورود]]-Table13[[#This Row],[مبلغ خروج]]</f>
        <v>35535700285</v>
      </c>
    </row>
    <row r="563" spans="1:8" ht="42.75" customHeight="1">
      <c r="A563" s="1">
        <v>560</v>
      </c>
      <c r="B563" s="21" t="s">
        <v>561</v>
      </c>
      <c r="C563" s="1">
        <v>498296</v>
      </c>
      <c r="D563" s="21" t="s">
        <v>34</v>
      </c>
      <c r="E563" s="74" t="s">
        <v>563</v>
      </c>
      <c r="F563" s="118"/>
      <c r="G563" s="119">
        <v>33400000000</v>
      </c>
      <c r="H563" s="119">
        <f>H562+Table13[[#This Row],[مبلغ ورود]]-Table13[[#This Row],[مبلغ خروج]]</f>
        <v>2135700285</v>
      </c>
    </row>
    <row r="564" spans="1:8" ht="42.75" customHeight="1">
      <c r="A564" s="1">
        <v>561</v>
      </c>
      <c r="B564" s="21" t="s">
        <v>561</v>
      </c>
      <c r="C564" s="1">
        <v>498297</v>
      </c>
      <c r="D564" s="21" t="s">
        <v>34</v>
      </c>
      <c r="E564" s="74" t="s">
        <v>562</v>
      </c>
      <c r="F564" s="118"/>
      <c r="G564" s="119">
        <f>G558</f>
        <v>50000000</v>
      </c>
      <c r="H564" s="20">
        <f>H563+Table13[[#This Row],[مبلغ ورود]]-Table13[[#This Row],[مبلغ خروج]]</f>
        <v>2085700285</v>
      </c>
    </row>
    <row r="565" spans="1:8" ht="42.75" customHeight="1">
      <c r="A565" s="1">
        <v>562</v>
      </c>
      <c r="B565" s="21" t="s">
        <v>561</v>
      </c>
      <c r="C565" s="1">
        <v>498298</v>
      </c>
      <c r="D565" s="21" t="s">
        <v>34</v>
      </c>
      <c r="E565" s="74" t="s">
        <v>564</v>
      </c>
      <c r="F565" s="118"/>
      <c r="G565" s="119">
        <v>1800000000</v>
      </c>
      <c r="H565" s="119">
        <f>H564+Table13[[#This Row],[مبلغ ورود]]-Table13[[#This Row],[مبلغ خروج]]</f>
        <v>285700285</v>
      </c>
    </row>
    <row r="566" spans="1:8" ht="42.75" customHeight="1">
      <c r="A566" s="1">
        <v>563</v>
      </c>
      <c r="B566" s="21" t="s">
        <v>561</v>
      </c>
      <c r="C566" s="1">
        <v>498299</v>
      </c>
      <c r="D566" s="21" t="s">
        <v>34</v>
      </c>
      <c r="E566" s="92" t="s">
        <v>565</v>
      </c>
      <c r="F566" s="118"/>
      <c r="G566" s="119">
        <v>88317350</v>
      </c>
      <c r="H566" s="20">
        <f>H565+Table13[[#This Row],[مبلغ ورود]]-Table13[[#This Row],[مبلغ خروج]]</f>
        <v>197382935</v>
      </c>
    </row>
    <row r="567" spans="1:8" ht="42.75" customHeight="1">
      <c r="A567" s="1">
        <v>564</v>
      </c>
      <c r="B567" s="21" t="s">
        <v>566</v>
      </c>
      <c r="C567" s="1">
        <v>498300</v>
      </c>
      <c r="D567" s="21" t="s">
        <v>34</v>
      </c>
      <c r="E567" s="74" t="s">
        <v>567</v>
      </c>
      <c r="F567" s="118"/>
      <c r="G567" s="119">
        <v>72594000</v>
      </c>
      <c r="H567" s="119"/>
    </row>
    <row r="568" spans="1:8" ht="42.75" customHeight="1">
      <c r="A568" s="1">
        <v>565</v>
      </c>
      <c r="B568" s="21" t="s">
        <v>569</v>
      </c>
      <c r="C568" s="1">
        <v>626201</v>
      </c>
      <c r="D568" s="21" t="s">
        <v>34</v>
      </c>
      <c r="E568" s="74" t="s">
        <v>568</v>
      </c>
      <c r="F568" s="118"/>
      <c r="G568" s="119">
        <v>48166000</v>
      </c>
      <c r="H568" s="119"/>
    </row>
    <row r="569" spans="1:8" ht="42.75" customHeight="1">
      <c r="A569" s="1">
        <v>566</v>
      </c>
      <c r="B569" s="21" t="s">
        <v>569</v>
      </c>
      <c r="C569" s="1">
        <v>626202</v>
      </c>
      <c r="D569" s="21" t="s">
        <v>34</v>
      </c>
      <c r="E569" s="74" t="s">
        <v>526</v>
      </c>
      <c r="F569" s="118"/>
      <c r="G569" s="119">
        <v>50000000</v>
      </c>
      <c r="H569" s="119"/>
    </row>
    <row r="570" spans="1:8" ht="42.75" customHeight="1">
      <c r="A570" s="1">
        <v>567</v>
      </c>
      <c r="B570" s="21" t="s">
        <v>570</v>
      </c>
      <c r="C570" s="1">
        <v>626203</v>
      </c>
      <c r="D570" s="21" t="s">
        <v>34</v>
      </c>
      <c r="E570" s="74" t="s">
        <v>571</v>
      </c>
      <c r="F570" s="118"/>
      <c r="G570" s="119">
        <v>2174249764</v>
      </c>
      <c r="H570" s="119"/>
    </row>
    <row r="571" spans="1:8" ht="42.75" customHeight="1">
      <c r="A571" s="1">
        <v>568</v>
      </c>
      <c r="B571" s="21" t="s">
        <v>570</v>
      </c>
      <c r="C571" s="1">
        <v>626204</v>
      </c>
      <c r="D571" s="21" t="s">
        <v>34</v>
      </c>
      <c r="E571" s="74" t="s">
        <v>572</v>
      </c>
      <c r="F571" s="118"/>
      <c r="G571" s="119">
        <v>715300591</v>
      </c>
      <c r="H571" s="119"/>
    </row>
    <row r="572" spans="1:8" ht="42.75" customHeight="1">
      <c r="A572" s="1">
        <v>569</v>
      </c>
      <c r="B572" s="21" t="s">
        <v>570</v>
      </c>
      <c r="C572" s="1">
        <v>626205</v>
      </c>
      <c r="D572" s="21" t="s">
        <v>34</v>
      </c>
      <c r="E572" s="150" t="s">
        <v>499</v>
      </c>
      <c r="F572" s="118"/>
      <c r="G572" s="119">
        <v>2500000000</v>
      </c>
      <c r="H572" s="119"/>
    </row>
    <row r="573" spans="1:8" ht="42.75" customHeight="1">
      <c r="A573" s="1">
        <v>570</v>
      </c>
      <c r="B573" s="21" t="s">
        <v>573</v>
      </c>
      <c r="C573" s="1">
        <v>626206</v>
      </c>
      <c r="D573" s="21" t="s">
        <v>34</v>
      </c>
      <c r="E573" s="74" t="s">
        <v>574</v>
      </c>
      <c r="F573" s="118"/>
      <c r="G573" s="119">
        <v>4125000000</v>
      </c>
      <c r="H573" s="119"/>
    </row>
    <row r="574" spans="1:8" ht="42.75" customHeight="1">
      <c r="A574" s="1">
        <v>571</v>
      </c>
      <c r="B574" s="21" t="s">
        <v>573</v>
      </c>
      <c r="C574" s="1">
        <v>626207</v>
      </c>
      <c r="D574" s="21" t="s">
        <v>34</v>
      </c>
      <c r="E574" s="74" t="s">
        <v>575</v>
      </c>
      <c r="F574" s="118"/>
      <c r="G574" s="119">
        <v>119742430</v>
      </c>
      <c r="H574" s="119"/>
    </row>
    <row r="575" spans="1:8" ht="42.75" customHeight="1">
      <c r="A575" s="1">
        <v>572</v>
      </c>
      <c r="B575" s="21" t="s">
        <v>573</v>
      </c>
      <c r="C575" s="1">
        <v>626208</v>
      </c>
      <c r="D575" s="21" t="s">
        <v>34</v>
      </c>
      <c r="E575" s="74" t="s">
        <v>576</v>
      </c>
      <c r="F575" s="118"/>
      <c r="G575" s="119">
        <v>158650800</v>
      </c>
      <c r="H575" s="119"/>
    </row>
    <row r="576" spans="1:8" ht="42.75" customHeight="1">
      <c r="A576" s="1">
        <v>573</v>
      </c>
      <c r="B576" s="21" t="s">
        <v>573</v>
      </c>
      <c r="C576" s="1">
        <v>626209</v>
      </c>
      <c r="D576" s="21" t="s">
        <v>34</v>
      </c>
      <c r="E576" s="74" t="s">
        <v>577</v>
      </c>
      <c r="F576" s="118"/>
      <c r="G576" s="119">
        <v>267714720</v>
      </c>
      <c r="H576" s="119"/>
    </row>
    <row r="577" spans="1:7" ht="42.75" customHeight="1">
      <c r="A577" s="1">
        <v>574</v>
      </c>
      <c r="B577" s="21" t="s">
        <v>573</v>
      </c>
      <c r="C577" s="1">
        <v>626210</v>
      </c>
      <c r="D577" s="21" t="s">
        <v>34</v>
      </c>
      <c r="E577" s="151" t="s">
        <v>578</v>
      </c>
      <c r="G577" s="20">
        <v>95080000</v>
      </c>
    </row>
    <row r="578" spans="1:7" ht="42.75" customHeight="1">
      <c r="A578" s="1">
        <v>575</v>
      </c>
      <c r="B578" s="21" t="s">
        <v>573</v>
      </c>
      <c r="C578" s="1">
        <v>626211</v>
      </c>
      <c r="D578" s="21" t="s">
        <v>34</v>
      </c>
      <c r="E578" s="74" t="s">
        <v>579</v>
      </c>
      <c r="G578" s="20">
        <v>111016500</v>
      </c>
    </row>
    <row r="579" spans="1:7" ht="42.75" customHeight="1">
      <c r="A579" s="1">
        <v>576</v>
      </c>
      <c r="B579" s="21" t="s">
        <v>580</v>
      </c>
      <c r="C579" s="1">
        <v>626213</v>
      </c>
      <c r="D579" s="21" t="s">
        <v>34</v>
      </c>
      <c r="E579" s="74" t="s">
        <v>563</v>
      </c>
      <c r="G579" s="20">
        <v>52000000000</v>
      </c>
    </row>
    <row r="580" spans="1:7" ht="42.75" customHeight="1">
      <c r="A580" s="1">
        <v>577</v>
      </c>
      <c r="B580" s="21" t="s">
        <v>573</v>
      </c>
      <c r="C580" s="1">
        <v>626212</v>
      </c>
      <c r="D580" s="21" t="s">
        <v>34</v>
      </c>
      <c r="E580" s="74" t="s">
        <v>581</v>
      </c>
      <c r="G580" s="20">
        <v>156000000</v>
      </c>
    </row>
    <row r="581" spans="1:7" ht="42.75" customHeight="1">
      <c r="A581" s="1">
        <v>578</v>
      </c>
      <c r="B581" s="21" t="s">
        <v>582</v>
      </c>
      <c r="C581" s="1">
        <v>626214</v>
      </c>
      <c r="D581" s="21" t="s">
        <v>34</v>
      </c>
      <c r="E581" s="74" t="s">
        <v>557</v>
      </c>
      <c r="G581" s="20">
        <v>200000000</v>
      </c>
    </row>
    <row r="582" spans="1:7" ht="42.75" customHeight="1">
      <c r="A582" s="1">
        <v>579</v>
      </c>
      <c r="B582" s="21" t="s">
        <v>583</v>
      </c>
      <c r="C582" s="1">
        <v>626215</v>
      </c>
      <c r="D582" s="21" t="s">
        <v>34</v>
      </c>
      <c r="E582" s="74" t="s">
        <v>557</v>
      </c>
      <c r="G582" s="20">
        <v>500000000</v>
      </c>
    </row>
    <row r="583" spans="1:7" ht="42.75" customHeight="1">
      <c r="A583" s="1">
        <v>580</v>
      </c>
      <c r="B583" s="21" t="s">
        <v>584</v>
      </c>
      <c r="C583" s="1">
        <v>626216</v>
      </c>
      <c r="D583" s="21" t="s">
        <v>34</v>
      </c>
      <c r="E583" s="74" t="s">
        <v>585</v>
      </c>
      <c r="G583" s="20">
        <v>1080144781</v>
      </c>
    </row>
    <row r="584" spans="1:7" ht="42.75" customHeight="1">
      <c r="A584" s="1">
        <v>581</v>
      </c>
      <c r="B584" s="21" t="s">
        <v>586</v>
      </c>
      <c r="C584" s="1">
        <v>626217</v>
      </c>
      <c r="D584" s="21" t="s">
        <v>34</v>
      </c>
      <c r="E584" s="74" t="s">
        <v>557</v>
      </c>
      <c r="G584" s="20">
        <v>300000000</v>
      </c>
    </row>
    <row r="585" spans="1:7" ht="42.75" customHeight="1">
      <c r="A585" s="1">
        <v>582</v>
      </c>
      <c r="B585" s="21" t="s">
        <v>587</v>
      </c>
      <c r="C585" s="1">
        <v>626218</v>
      </c>
      <c r="D585" s="21" t="s">
        <v>34</v>
      </c>
      <c r="E585" s="74" t="s">
        <v>588</v>
      </c>
      <c r="G585" s="20">
        <v>6412042560</v>
      </c>
    </row>
    <row r="586" spans="1:7" ht="42.75" customHeight="1">
      <c r="A586" s="1">
        <v>583</v>
      </c>
      <c r="B586" s="21" t="s">
        <v>587</v>
      </c>
      <c r="C586" s="1">
        <v>626219</v>
      </c>
      <c r="D586" s="21" t="s">
        <v>34</v>
      </c>
      <c r="E586" s="74" t="s">
        <v>589</v>
      </c>
      <c r="G586" s="20">
        <v>51985806</v>
      </c>
    </row>
    <row r="587" spans="1:7" ht="42.75" customHeight="1">
      <c r="A587" s="1">
        <v>584</v>
      </c>
      <c r="B587" s="21" t="s">
        <v>587</v>
      </c>
      <c r="C587" s="1">
        <v>626220</v>
      </c>
      <c r="D587" s="21" t="s">
        <v>34</v>
      </c>
      <c r="E587" s="74" t="s">
        <v>526</v>
      </c>
      <c r="G587" s="20">
        <v>50000000</v>
      </c>
    </row>
    <row r="588" spans="1:7" ht="42.75" customHeight="1">
      <c r="A588" s="1">
        <v>585</v>
      </c>
      <c r="B588" s="21" t="s">
        <v>587</v>
      </c>
      <c r="C588" s="1">
        <v>626221</v>
      </c>
      <c r="D588" s="21" t="s">
        <v>34</v>
      </c>
      <c r="E588" s="74" t="s">
        <v>590</v>
      </c>
      <c r="G588" s="20">
        <v>14170000</v>
      </c>
    </row>
    <row r="589" spans="1:7" ht="42.75" customHeight="1">
      <c r="A589" s="1">
        <v>586</v>
      </c>
      <c r="B589" s="21" t="s">
        <v>591</v>
      </c>
      <c r="C589" s="1">
        <v>626222</v>
      </c>
      <c r="D589" s="21" t="s">
        <v>34</v>
      </c>
      <c r="E589" s="74" t="s">
        <v>563</v>
      </c>
      <c r="G589" s="20">
        <v>62200000000</v>
      </c>
    </row>
    <row r="590" spans="1:7" ht="42.75" customHeight="1">
      <c r="A590" s="1">
        <v>587</v>
      </c>
      <c r="B590" s="21" t="s">
        <v>593</v>
      </c>
      <c r="C590" s="1">
        <v>626223</v>
      </c>
      <c r="D590" s="21" t="s">
        <v>34</v>
      </c>
      <c r="E590" s="74" t="s">
        <v>592</v>
      </c>
      <c r="G590" s="20">
        <v>205371000</v>
      </c>
    </row>
    <row r="591" spans="1:7" ht="42.75" customHeight="1">
      <c r="A591" s="1">
        <v>588</v>
      </c>
      <c r="B591" s="21" t="s">
        <v>593</v>
      </c>
      <c r="C591" s="1">
        <v>626224</v>
      </c>
      <c r="D591" s="21" t="s">
        <v>34</v>
      </c>
      <c r="E591" s="74" t="s">
        <v>594</v>
      </c>
      <c r="G591" s="20">
        <v>9000000</v>
      </c>
    </row>
    <row r="592" spans="1:7" ht="42.75" customHeight="1">
      <c r="A592" s="1">
        <v>589</v>
      </c>
      <c r="B592" s="21" t="s">
        <v>593</v>
      </c>
      <c r="C592" s="1">
        <v>626225</v>
      </c>
      <c r="D592" s="21" t="s">
        <v>34</v>
      </c>
      <c r="E592" s="74" t="s">
        <v>595</v>
      </c>
      <c r="G592" s="20">
        <v>400000000</v>
      </c>
    </row>
    <row r="593" spans="1:8" ht="42.75" customHeight="1">
      <c r="A593" s="1">
        <v>590</v>
      </c>
      <c r="B593" s="21" t="s">
        <v>593</v>
      </c>
      <c r="C593" s="1">
        <v>626226</v>
      </c>
      <c r="D593" s="21" t="s">
        <v>34</v>
      </c>
      <c r="E593" s="74" t="s">
        <v>596</v>
      </c>
      <c r="G593" s="20">
        <v>198000000</v>
      </c>
      <c r="H593" s="25"/>
    </row>
    <row r="594" spans="1:8" ht="42.75" customHeight="1">
      <c r="A594" s="1">
        <v>591</v>
      </c>
      <c r="B594" s="21" t="s">
        <v>598</v>
      </c>
      <c r="C594" s="1">
        <v>626227</v>
      </c>
      <c r="D594" s="21" t="s">
        <v>34</v>
      </c>
      <c r="E594" s="74" t="s">
        <v>597</v>
      </c>
      <c r="G594" s="20">
        <v>150000000</v>
      </c>
    </row>
    <row r="595" spans="1:8" ht="42.75" customHeight="1">
      <c r="A595" s="1">
        <v>592</v>
      </c>
      <c r="B595" s="21" t="s">
        <v>598</v>
      </c>
      <c r="C595" s="1">
        <v>626228</v>
      </c>
      <c r="D595" s="21" t="s">
        <v>34</v>
      </c>
      <c r="E595" s="74" t="s">
        <v>564</v>
      </c>
      <c r="G595" s="20">
        <v>1850000000</v>
      </c>
    </row>
    <row r="596" spans="1:8" ht="42.75" customHeight="1">
      <c r="A596" s="1">
        <v>593</v>
      </c>
      <c r="B596" s="21" t="s">
        <v>598</v>
      </c>
      <c r="C596" s="1">
        <v>626229</v>
      </c>
      <c r="D596" s="21" t="s">
        <v>34</v>
      </c>
      <c r="E596" s="74" t="s">
        <v>599</v>
      </c>
      <c r="F596" s="122"/>
      <c r="G596" s="123">
        <v>250000000</v>
      </c>
      <c r="H596" s="123"/>
    </row>
    <row r="597" spans="1:8" ht="42.75" customHeight="1">
      <c r="A597" s="1">
        <v>594</v>
      </c>
      <c r="B597" s="21" t="s">
        <v>600</v>
      </c>
      <c r="C597" s="1">
        <v>626230</v>
      </c>
      <c r="D597" s="21" t="s">
        <v>34</v>
      </c>
      <c r="E597" s="74" t="s">
        <v>595</v>
      </c>
      <c r="F597" s="122"/>
      <c r="G597" s="123">
        <v>670000000</v>
      </c>
      <c r="H597" s="123"/>
    </row>
    <row r="598" spans="1:8" ht="42.75" customHeight="1">
      <c r="A598" s="1">
        <v>595</v>
      </c>
      <c r="B598" s="21" t="s">
        <v>600</v>
      </c>
      <c r="C598" s="1">
        <v>626231</v>
      </c>
      <c r="D598" s="21" t="s">
        <v>34</v>
      </c>
      <c r="E598" s="74" t="s">
        <v>602</v>
      </c>
      <c r="F598" s="122"/>
      <c r="G598" s="123">
        <v>195200000</v>
      </c>
      <c r="H598" s="123"/>
    </row>
    <row r="599" spans="1:8" ht="42.75" customHeight="1">
      <c r="A599" s="1">
        <v>596</v>
      </c>
      <c r="B599" s="21" t="s">
        <v>600</v>
      </c>
      <c r="C599" s="1">
        <v>626232</v>
      </c>
      <c r="D599" s="21" t="s">
        <v>34</v>
      </c>
      <c r="E599" s="74" t="s">
        <v>601</v>
      </c>
      <c r="F599" s="125"/>
      <c r="G599" s="123">
        <v>21966410</v>
      </c>
      <c r="H599" s="126"/>
    </row>
    <row r="600" spans="1:8" ht="42.75" customHeight="1">
      <c r="A600" s="1">
        <v>597</v>
      </c>
      <c r="B600" s="21" t="s">
        <v>600</v>
      </c>
      <c r="C600" s="1">
        <v>626233</v>
      </c>
      <c r="D600" s="21" t="s">
        <v>34</v>
      </c>
      <c r="E600" s="74" t="s">
        <v>603</v>
      </c>
      <c r="F600" s="125"/>
      <c r="G600" s="123">
        <v>150000000</v>
      </c>
      <c r="H600" s="126"/>
    </row>
    <row r="601" spans="1:8" ht="42.75" customHeight="1">
      <c r="A601" s="1">
        <v>598</v>
      </c>
      <c r="B601" s="21" t="s">
        <v>605</v>
      </c>
      <c r="C601" s="1">
        <v>626234</v>
      </c>
      <c r="D601" s="21" t="s">
        <v>34</v>
      </c>
      <c r="E601" s="74" t="s">
        <v>604</v>
      </c>
      <c r="F601" s="125"/>
      <c r="G601" s="123">
        <v>996972860</v>
      </c>
      <c r="H601" s="126"/>
    </row>
    <row r="602" spans="1:8" ht="42.75" customHeight="1">
      <c r="A602" s="1">
        <v>599</v>
      </c>
      <c r="B602" s="21" t="s">
        <v>605</v>
      </c>
      <c r="C602" s="1">
        <v>626235</v>
      </c>
      <c r="D602" s="21" t="s">
        <v>34</v>
      </c>
      <c r="E602" s="74" t="s">
        <v>526</v>
      </c>
      <c r="F602" s="125"/>
      <c r="G602" s="123">
        <v>50000000</v>
      </c>
      <c r="H602" s="126"/>
    </row>
    <row r="603" spans="1:8" ht="42.75" customHeight="1">
      <c r="A603" s="1">
        <v>600</v>
      </c>
      <c r="B603" s="21" t="s">
        <v>605</v>
      </c>
      <c r="C603" s="1">
        <v>626236</v>
      </c>
      <c r="D603" s="21" t="s">
        <v>34</v>
      </c>
      <c r="E603" s="74" t="s">
        <v>606</v>
      </c>
      <c r="F603" s="125"/>
      <c r="G603" s="123">
        <v>98916000</v>
      </c>
      <c r="H603" s="126"/>
    </row>
    <row r="604" spans="1:8" ht="42.75" customHeight="1">
      <c r="A604" s="1">
        <v>601</v>
      </c>
      <c r="B604" s="21" t="s">
        <v>605</v>
      </c>
      <c r="C604" s="1">
        <v>626237</v>
      </c>
      <c r="D604" s="21" t="s">
        <v>34</v>
      </c>
      <c r="E604" s="74" t="s">
        <v>607</v>
      </c>
      <c r="F604" s="125"/>
      <c r="G604" s="123">
        <v>3677333554</v>
      </c>
      <c r="H604" s="126"/>
    </row>
    <row r="605" spans="1:8" ht="42.75" customHeight="1">
      <c r="A605" s="1">
        <v>602</v>
      </c>
      <c r="B605" s="21" t="s">
        <v>608</v>
      </c>
      <c r="C605" s="1">
        <v>626238</v>
      </c>
      <c r="D605" s="21" t="s">
        <v>34</v>
      </c>
      <c r="E605" s="74" t="s">
        <v>609</v>
      </c>
      <c r="F605" s="125"/>
      <c r="G605" s="123">
        <v>500000000</v>
      </c>
      <c r="H605" s="126"/>
    </row>
    <row r="606" spans="1:8" ht="42.75" customHeight="1">
      <c r="A606" s="1">
        <v>603</v>
      </c>
      <c r="B606" s="21" t="s">
        <v>608</v>
      </c>
      <c r="C606" s="1">
        <v>626239</v>
      </c>
      <c r="D606" s="21" t="s">
        <v>34</v>
      </c>
      <c r="E606" s="74" t="s">
        <v>563</v>
      </c>
      <c r="F606" s="125"/>
      <c r="G606" s="126">
        <v>46000000000</v>
      </c>
      <c r="H606" s="126"/>
    </row>
    <row r="607" spans="1:8" ht="42.75" customHeight="1">
      <c r="A607" s="1">
        <v>604</v>
      </c>
      <c r="B607" s="21" t="s">
        <v>610</v>
      </c>
      <c r="C607" s="124">
        <v>626240</v>
      </c>
      <c r="D607" s="21" t="s">
        <v>34</v>
      </c>
      <c r="E607" s="74" t="s">
        <v>611</v>
      </c>
      <c r="F607" s="125"/>
      <c r="G607" s="126">
        <v>1500000000</v>
      </c>
      <c r="H607" s="126"/>
    </row>
    <row r="608" spans="1:8" ht="42.75" customHeight="1">
      <c r="A608" s="1">
        <v>605</v>
      </c>
      <c r="B608" s="21" t="s">
        <v>610</v>
      </c>
      <c r="C608" s="1">
        <v>626241</v>
      </c>
      <c r="D608" s="21" t="s">
        <v>34</v>
      </c>
      <c r="E608" s="74" t="s">
        <v>612</v>
      </c>
      <c r="G608" s="20">
        <v>418416800</v>
      </c>
    </row>
    <row r="609" spans="1:8" ht="42.75" customHeight="1">
      <c r="A609" s="1">
        <v>606</v>
      </c>
      <c r="B609" s="21" t="s">
        <v>610</v>
      </c>
      <c r="C609" s="1">
        <v>626242</v>
      </c>
      <c r="D609" s="21" t="s">
        <v>34</v>
      </c>
      <c r="E609" s="74" t="s">
        <v>614</v>
      </c>
      <c r="G609" s="20">
        <v>35200000</v>
      </c>
    </row>
    <row r="610" spans="1:8" ht="42.75" customHeight="1">
      <c r="A610" s="1">
        <v>607</v>
      </c>
      <c r="B610" s="21" t="s">
        <v>615</v>
      </c>
      <c r="C610" s="1">
        <v>626243</v>
      </c>
      <c r="D610" s="21" t="s">
        <v>34</v>
      </c>
      <c r="E610" s="74" t="s">
        <v>616</v>
      </c>
      <c r="G610" s="20">
        <v>610972305</v>
      </c>
    </row>
    <row r="611" spans="1:8" ht="42.75" customHeight="1">
      <c r="A611" s="1">
        <v>608</v>
      </c>
      <c r="B611" s="21" t="s">
        <v>617</v>
      </c>
      <c r="C611" s="1">
        <v>626244</v>
      </c>
      <c r="D611" s="21" t="s">
        <v>34</v>
      </c>
      <c r="E611" s="74" t="s">
        <v>619</v>
      </c>
      <c r="G611" s="20">
        <v>324438500</v>
      </c>
    </row>
    <row r="612" spans="1:8" ht="42.75" customHeight="1">
      <c r="A612" s="1">
        <v>609</v>
      </c>
      <c r="B612" s="21" t="s">
        <v>617</v>
      </c>
      <c r="C612" s="1">
        <v>626245</v>
      </c>
      <c r="D612" s="21" t="s">
        <v>34</v>
      </c>
      <c r="E612" s="74" t="s">
        <v>618</v>
      </c>
      <c r="G612" s="20">
        <v>47426000</v>
      </c>
    </row>
    <row r="613" spans="1:8" ht="42.75" customHeight="1">
      <c r="A613" s="1">
        <v>610</v>
      </c>
      <c r="B613" s="21" t="s">
        <v>617</v>
      </c>
      <c r="C613" s="1">
        <v>626246</v>
      </c>
      <c r="D613" s="21" t="s">
        <v>34</v>
      </c>
      <c r="E613" s="74" t="s">
        <v>620</v>
      </c>
      <c r="G613" s="20">
        <v>500000000</v>
      </c>
    </row>
    <row r="614" spans="1:8" ht="42.75" customHeight="1">
      <c r="A614" s="1">
        <v>611</v>
      </c>
      <c r="B614" s="21" t="s">
        <v>621</v>
      </c>
      <c r="C614" s="1">
        <v>626247</v>
      </c>
      <c r="D614" s="21" t="s">
        <v>34</v>
      </c>
      <c r="E614" s="74" t="s">
        <v>622</v>
      </c>
      <c r="G614" s="20">
        <v>2000000000</v>
      </c>
    </row>
    <row r="615" spans="1:8" ht="42.75" customHeight="1">
      <c r="A615" s="1">
        <v>612</v>
      </c>
      <c r="B615" s="21" t="s">
        <v>623</v>
      </c>
      <c r="C615" s="1">
        <v>626250</v>
      </c>
      <c r="D615" s="21" t="s">
        <v>34</v>
      </c>
      <c r="E615" s="74" t="s">
        <v>624</v>
      </c>
      <c r="F615" s="129"/>
      <c r="G615" s="20">
        <v>2195011956</v>
      </c>
      <c r="H615" s="130"/>
    </row>
    <row r="616" spans="1:8" ht="42.75" customHeight="1">
      <c r="A616" s="1">
        <v>613</v>
      </c>
      <c r="B616" s="21" t="s">
        <v>623</v>
      </c>
      <c r="C616" s="1">
        <v>626248</v>
      </c>
      <c r="D616" s="21" t="s">
        <v>34</v>
      </c>
      <c r="E616" s="74" t="s">
        <v>626</v>
      </c>
      <c r="F616" s="129"/>
      <c r="G616" s="130"/>
      <c r="H616" s="130"/>
    </row>
    <row r="617" spans="1:8" ht="42.75" customHeight="1">
      <c r="A617" s="1">
        <v>614</v>
      </c>
      <c r="B617" s="21" t="s">
        <v>623</v>
      </c>
      <c r="C617" s="1">
        <v>626249</v>
      </c>
      <c r="D617" s="21" t="s">
        <v>34</v>
      </c>
      <c r="E617" s="74" t="s">
        <v>625</v>
      </c>
      <c r="F617" s="129"/>
      <c r="G617" s="20">
        <v>723667727</v>
      </c>
      <c r="H617" s="130"/>
    </row>
    <row r="618" spans="1:8" ht="42.75" customHeight="1">
      <c r="A618" s="1">
        <v>615</v>
      </c>
      <c r="B618" s="21" t="s">
        <v>623</v>
      </c>
      <c r="C618" s="1">
        <v>30551</v>
      </c>
      <c r="D618" s="21" t="s">
        <v>34</v>
      </c>
      <c r="E618" s="150" t="s">
        <v>499</v>
      </c>
      <c r="F618" s="129"/>
      <c r="G618" s="20">
        <v>2000000000</v>
      </c>
      <c r="H618" s="130"/>
    </row>
    <row r="619" spans="1:8" ht="42.75" customHeight="1">
      <c r="A619" s="1">
        <v>616</v>
      </c>
      <c r="B619" s="21" t="s">
        <v>623</v>
      </c>
      <c r="C619" s="128">
        <v>30552</v>
      </c>
      <c r="D619" s="21" t="s">
        <v>34</v>
      </c>
      <c r="E619" s="74" t="s">
        <v>526</v>
      </c>
      <c r="F619" s="129"/>
      <c r="G619" s="20">
        <v>50000000</v>
      </c>
      <c r="H619" s="130"/>
    </row>
    <row r="620" spans="1:8" ht="42.75" customHeight="1">
      <c r="A620" s="1">
        <v>617</v>
      </c>
      <c r="B620" s="21" t="s">
        <v>627</v>
      </c>
      <c r="C620" s="128">
        <v>30553</v>
      </c>
      <c r="D620" s="21" t="s">
        <v>34</v>
      </c>
      <c r="E620" s="74" t="s">
        <v>526</v>
      </c>
      <c r="F620" s="129"/>
      <c r="G620" s="20">
        <v>50000000</v>
      </c>
      <c r="H620" s="130"/>
    </row>
    <row r="621" spans="1:8" ht="42.75" customHeight="1">
      <c r="A621" s="1">
        <v>618</v>
      </c>
      <c r="B621" s="21" t="s">
        <v>627</v>
      </c>
      <c r="C621" s="128">
        <v>30554</v>
      </c>
      <c r="D621" s="21" t="s">
        <v>34</v>
      </c>
      <c r="E621" s="74" t="s">
        <v>628</v>
      </c>
      <c r="F621" s="129"/>
      <c r="G621" s="20">
        <v>27000000000</v>
      </c>
      <c r="H621" s="130"/>
    </row>
    <row r="622" spans="1:8" ht="42.75" customHeight="1">
      <c r="A622" s="1">
        <v>619</v>
      </c>
      <c r="B622" s="21" t="s">
        <v>630</v>
      </c>
      <c r="C622" s="1">
        <v>30555</v>
      </c>
      <c r="D622" s="21" t="s">
        <v>34</v>
      </c>
      <c r="E622" s="74" t="s">
        <v>629</v>
      </c>
      <c r="G622" s="20">
        <v>436000000</v>
      </c>
    </row>
    <row r="623" spans="1:8" ht="42.75" customHeight="1">
      <c r="A623" s="1">
        <v>620</v>
      </c>
      <c r="B623" s="21" t="s">
        <v>630</v>
      </c>
      <c r="C623" s="1">
        <v>30556</v>
      </c>
      <c r="D623" s="21" t="s">
        <v>34</v>
      </c>
      <c r="E623" s="74" t="s">
        <v>631</v>
      </c>
      <c r="G623" s="20">
        <v>3494398920</v>
      </c>
    </row>
    <row r="624" spans="1:8" ht="42.75" customHeight="1">
      <c r="A624" s="1">
        <v>621</v>
      </c>
      <c r="B624" s="21" t="s">
        <v>630</v>
      </c>
      <c r="C624" s="1">
        <v>30557</v>
      </c>
      <c r="D624" s="21" t="s">
        <v>34</v>
      </c>
      <c r="E624" s="74" t="s">
        <v>632</v>
      </c>
      <c r="G624" s="20">
        <v>1365500000</v>
      </c>
    </row>
    <row r="625" spans="1:7" ht="42.75" customHeight="1">
      <c r="A625" s="1">
        <v>622</v>
      </c>
      <c r="B625" s="21" t="s">
        <v>630</v>
      </c>
      <c r="C625" s="1">
        <v>30558</v>
      </c>
      <c r="D625" s="21" t="s">
        <v>34</v>
      </c>
      <c r="E625" s="74" t="s">
        <v>633</v>
      </c>
      <c r="G625" s="20">
        <v>3057552000</v>
      </c>
    </row>
    <row r="626" spans="1:7" ht="42.75" customHeight="1">
      <c r="A626" s="1">
        <v>623</v>
      </c>
      <c r="B626" s="21" t="s">
        <v>630</v>
      </c>
      <c r="C626" s="1">
        <v>30559</v>
      </c>
      <c r="D626" s="21" t="s">
        <v>34</v>
      </c>
      <c r="E626" s="74" t="s">
        <v>634</v>
      </c>
      <c r="G626" s="20">
        <v>1676000000</v>
      </c>
    </row>
    <row r="627" spans="1:7" ht="42.75" customHeight="1">
      <c r="A627" s="1">
        <v>624</v>
      </c>
      <c r="B627" s="21" t="s">
        <v>636</v>
      </c>
      <c r="C627" s="1">
        <v>30560</v>
      </c>
      <c r="D627" s="21" t="s">
        <v>34</v>
      </c>
      <c r="E627" s="74" t="s">
        <v>635</v>
      </c>
      <c r="G627" s="20">
        <v>43680000</v>
      </c>
    </row>
    <row r="628" spans="1:7" ht="42.75" customHeight="1">
      <c r="A628" s="1">
        <v>625</v>
      </c>
      <c r="B628" s="21" t="s">
        <v>636</v>
      </c>
      <c r="C628" s="1">
        <v>30561</v>
      </c>
      <c r="D628" s="21" t="s">
        <v>34</v>
      </c>
      <c r="E628" s="74" t="s">
        <v>526</v>
      </c>
      <c r="G628" s="20">
        <v>50000000</v>
      </c>
    </row>
    <row r="629" spans="1:7" ht="42.75" customHeight="1">
      <c r="A629" s="1">
        <v>626</v>
      </c>
      <c r="B629" s="21" t="s">
        <v>636</v>
      </c>
      <c r="C629" s="1">
        <v>30562</v>
      </c>
      <c r="D629" s="21" t="s">
        <v>34</v>
      </c>
      <c r="E629" s="74" t="s">
        <v>597</v>
      </c>
      <c r="G629" s="20">
        <v>500000000</v>
      </c>
    </row>
    <row r="630" spans="1:7" ht="42.75" customHeight="1">
      <c r="A630" s="1">
        <v>627</v>
      </c>
      <c r="B630" s="21" t="s">
        <v>637</v>
      </c>
      <c r="C630" s="1">
        <v>30563</v>
      </c>
      <c r="D630" s="21" t="s">
        <v>34</v>
      </c>
      <c r="E630" s="74" t="s">
        <v>597</v>
      </c>
      <c r="G630" s="20">
        <v>1000000000</v>
      </c>
    </row>
    <row r="631" spans="1:7" ht="42.75" customHeight="1">
      <c r="A631" s="1">
        <v>628</v>
      </c>
      <c r="B631" s="21" t="s">
        <v>638</v>
      </c>
      <c r="C631" s="1">
        <v>30564</v>
      </c>
      <c r="D631" s="21" t="s">
        <v>34</v>
      </c>
      <c r="E631" s="74" t="s">
        <v>563</v>
      </c>
      <c r="G631" s="20">
        <v>57500000000</v>
      </c>
    </row>
    <row r="632" spans="1:7" ht="42.75" customHeight="1">
      <c r="A632" s="1">
        <v>629</v>
      </c>
      <c r="B632" s="21" t="s">
        <v>639</v>
      </c>
      <c r="C632" s="1">
        <v>30565</v>
      </c>
      <c r="D632" s="21" t="s">
        <v>34</v>
      </c>
      <c r="E632" s="74" t="s">
        <v>640</v>
      </c>
      <c r="G632" s="20">
        <v>2468475000</v>
      </c>
    </row>
    <row r="633" spans="1:7" ht="42.75" customHeight="1">
      <c r="A633" s="1">
        <v>630</v>
      </c>
      <c r="B633" s="21" t="s">
        <v>639</v>
      </c>
      <c r="C633" s="1">
        <v>30566</v>
      </c>
      <c r="D633" s="21" t="s">
        <v>34</v>
      </c>
      <c r="E633" s="74" t="s">
        <v>641</v>
      </c>
      <c r="G633" s="20">
        <v>400000000</v>
      </c>
    </row>
    <row r="634" spans="1:7" ht="42.75" customHeight="1">
      <c r="A634" s="1">
        <v>631</v>
      </c>
      <c r="B634" s="21" t="s">
        <v>639</v>
      </c>
      <c r="C634" s="1">
        <v>30567</v>
      </c>
      <c r="D634" s="21" t="s">
        <v>34</v>
      </c>
      <c r="E634" s="74" t="s">
        <v>642</v>
      </c>
      <c r="G634" s="20">
        <v>6580000</v>
      </c>
    </row>
    <row r="635" spans="1:7" ht="42.75" customHeight="1">
      <c r="A635" s="1">
        <v>632</v>
      </c>
      <c r="B635" s="21" t="s">
        <v>639</v>
      </c>
      <c r="C635" s="1">
        <v>30568</v>
      </c>
      <c r="D635" s="21" t="s">
        <v>34</v>
      </c>
      <c r="E635" s="74" t="s">
        <v>644</v>
      </c>
      <c r="G635" s="20">
        <v>1001157000</v>
      </c>
    </row>
    <row r="636" spans="1:7" ht="42.75" customHeight="1">
      <c r="A636" s="1">
        <v>633</v>
      </c>
      <c r="B636" s="21" t="s">
        <v>639</v>
      </c>
      <c r="C636" s="1">
        <v>30569</v>
      </c>
      <c r="D636" s="21" t="s">
        <v>34</v>
      </c>
      <c r="E636" s="74" t="s">
        <v>643</v>
      </c>
      <c r="G636" s="20">
        <v>568886000</v>
      </c>
    </row>
    <row r="637" spans="1:7" ht="42.75" customHeight="1">
      <c r="A637" s="1">
        <v>634</v>
      </c>
      <c r="B637" s="21" t="s">
        <v>645</v>
      </c>
      <c r="C637" s="1">
        <v>30570</v>
      </c>
      <c r="D637" s="21" t="s">
        <v>34</v>
      </c>
      <c r="E637" s="74" t="s">
        <v>526</v>
      </c>
      <c r="G637" s="20">
        <v>50000000</v>
      </c>
    </row>
    <row r="638" spans="1:7" ht="42.75" customHeight="1">
      <c r="A638" s="1">
        <v>635</v>
      </c>
      <c r="B638" s="21" t="s">
        <v>645</v>
      </c>
      <c r="C638" s="1">
        <v>30571</v>
      </c>
      <c r="D638" s="21" t="s">
        <v>34</v>
      </c>
      <c r="E638" s="74" t="s">
        <v>646</v>
      </c>
      <c r="G638" s="20">
        <v>185004495</v>
      </c>
    </row>
    <row r="639" spans="1:7" ht="42.75" customHeight="1">
      <c r="A639" s="1">
        <v>636</v>
      </c>
      <c r="B639" s="21" t="s">
        <v>647</v>
      </c>
      <c r="C639" s="1">
        <v>30572</v>
      </c>
      <c r="D639" s="21" t="s">
        <v>34</v>
      </c>
      <c r="E639" s="74" t="s">
        <v>648</v>
      </c>
      <c r="G639" s="20">
        <v>2940094605</v>
      </c>
    </row>
    <row r="640" spans="1:7" ht="42.75" customHeight="1">
      <c r="A640" s="1">
        <v>637</v>
      </c>
      <c r="B640" s="21" t="s">
        <v>649</v>
      </c>
      <c r="C640" s="1">
        <v>30573</v>
      </c>
      <c r="D640" s="21" t="s">
        <v>34</v>
      </c>
      <c r="E640" s="74" t="s">
        <v>650</v>
      </c>
      <c r="G640" s="20">
        <v>200000000</v>
      </c>
    </row>
    <row r="641" spans="1:8" ht="42.75" customHeight="1">
      <c r="A641" s="1">
        <v>638</v>
      </c>
      <c r="B641" s="21" t="s">
        <v>649</v>
      </c>
      <c r="C641" s="1">
        <v>30574</v>
      </c>
      <c r="D641" s="21" t="s">
        <v>34</v>
      </c>
      <c r="E641" s="74" t="s">
        <v>526</v>
      </c>
      <c r="G641" s="20">
        <v>50000000</v>
      </c>
    </row>
    <row r="642" spans="1:8" ht="42.75" customHeight="1">
      <c r="A642" s="1">
        <v>639</v>
      </c>
      <c r="B642" s="21" t="s">
        <v>649</v>
      </c>
      <c r="C642" s="1">
        <v>30575</v>
      </c>
      <c r="D642" s="21" t="s">
        <v>34</v>
      </c>
      <c r="E642" s="74" t="s">
        <v>641</v>
      </c>
      <c r="G642" s="20">
        <v>698692700</v>
      </c>
    </row>
    <row r="643" spans="1:8" ht="42.75" customHeight="1">
      <c r="A643" s="1">
        <v>640</v>
      </c>
      <c r="B643" s="21" t="s">
        <v>649</v>
      </c>
      <c r="C643" s="1">
        <v>30576</v>
      </c>
      <c r="D643" s="21" t="s">
        <v>34</v>
      </c>
      <c r="E643" s="74" t="s">
        <v>651</v>
      </c>
      <c r="G643" s="20">
        <v>950000000</v>
      </c>
    </row>
    <row r="644" spans="1:8" ht="42.75" customHeight="1">
      <c r="A644" s="1">
        <v>641</v>
      </c>
      <c r="B644" s="21" t="s">
        <v>658</v>
      </c>
      <c r="C644" s="152">
        <v>30577</v>
      </c>
      <c r="D644" s="21" t="s">
        <v>34</v>
      </c>
      <c r="E644" s="74" t="s">
        <v>659</v>
      </c>
      <c r="G644" s="20">
        <v>30000000</v>
      </c>
    </row>
    <row r="645" spans="1:8" ht="42.75" customHeight="1">
      <c r="A645" s="1">
        <v>642</v>
      </c>
      <c r="B645" s="21" t="s">
        <v>653</v>
      </c>
      <c r="C645" s="1">
        <v>30578</v>
      </c>
      <c r="D645" s="21" t="s">
        <v>34</v>
      </c>
      <c r="E645" s="74" t="s">
        <v>654</v>
      </c>
      <c r="G645" s="20">
        <v>1989882200</v>
      </c>
    </row>
    <row r="646" spans="1:8" ht="42.75" customHeight="1">
      <c r="A646" s="1">
        <v>643</v>
      </c>
      <c r="B646" s="21" t="s">
        <v>653</v>
      </c>
      <c r="C646" s="1">
        <v>30579</v>
      </c>
      <c r="D646" s="21" t="s">
        <v>34</v>
      </c>
      <c r="E646" s="74" t="s">
        <v>655</v>
      </c>
      <c r="G646" s="20">
        <v>2500000000</v>
      </c>
    </row>
    <row r="647" spans="1:8" ht="42.75" customHeight="1">
      <c r="A647" s="1">
        <v>644</v>
      </c>
      <c r="B647" s="21" t="s">
        <v>653</v>
      </c>
      <c r="C647" s="1">
        <v>30580</v>
      </c>
      <c r="D647" s="21" t="s">
        <v>34</v>
      </c>
      <c r="E647" s="74" t="s">
        <v>656</v>
      </c>
      <c r="G647" s="20">
        <v>47287000</v>
      </c>
    </row>
    <row r="648" spans="1:8" ht="63" customHeight="1">
      <c r="A648" s="1">
        <v>645</v>
      </c>
      <c r="B648" s="21" t="s">
        <v>657</v>
      </c>
      <c r="C648" s="1">
        <v>30581</v>
      </c>
      <c r="D648" s="21" t="s">
        <v>34</v>
      </c>
      <c r="E648" s="74" t="s">
        <v>666</v>
      </c>
      <c r="G648" s="20">
        <v>1517688937</v>
      </c>
    </row>
    <row r="649" spans="1:8" ht="21">
      <c r="A649" s="1">
        <v>646</v>
      </c>
      <c r="B649" s="21" t="s">
        <v>660</v>
      </c>
      <c r="C649" s="1">
        <v>30582</v>
      </c>
      <c r="D649" s="21" t="s">
        <v>34</v>
      </c>
      <c r="E649" s="74" t="s">
        <v>626</v>
      </c>
    </row>
    <row r="650" spans="1:8" ht="75">
      <c r="A650" s="1">
        <v>647</v>
      </c>
      <c r="B650" s="21" t="s">
        <v>661</v>
      </c>
      <c r="C650" s="1">
        <v>30583</v>
      </c>
      <c r="D650" s="21" t="s">
        <v>34</v>
      </c>
      <c r="E650" s="74" t="s">
        <v>667</v>
      </c>
      <c r="G650" s="20">
        <v>1000000000</v>
      </c>
    </row>
    <row r="651" spans="1:8" ht="75">
      <c r="A651" s="1">
        <v>648</v>
      </c>
      <c r="B651" s="21" t="s">
        <v>662</v>
      </c>
      <c r="C651" s="1">
        <v>30584</v>
      </c>
      <c r="D651" s="21" t="s">
        <v>34</v>
      </c>
      <c r="E651" s="74" t="s">
        <v>668</v>
      </c>
      <c r="G651" s="20">
        <v>1000000000</v>
      </c>
    </row>
    <row r="652" spans="1:8" ht="75">
      <c r="A652" s="1">
        <v>649</v>
      </c>
      <c r="B652" s="21" t="s">
        <v>663</v>
      </c>
      <c r="C652" s="1">
        <v>30585</v>
      </c>
      <c r="D652" s="21" t="s">
        <v>34</v>
      </c>
      <c r="E652" s="74" t="s">
        <v>669</v>
      </c>
      <c r="F652" s="122"/>
      <c r="G652" s="20">
        <v>1000000000</v>
      </c>
      <c r="H652" s="123"/>
    </row>
    <row r="653" spans="1:8" ht="21">
      <c r="A653" s="1">
        <v>650</v>
      </c>
      <c r="B653" s="21" t="s">
        <v>670</v>
      </c>
      <c r="C653" s="1">
        <v>30586</v>
      </c>
      <c r="D653" s="21" t="s">
        <v>34</v>
      </c>
      <c r="E653" s="74" t="s">
        <v>626</v>
      </c>
      <c r="F653" s="122"/>
      <c r="G653" s="123"/>
      <c r="H653" s="123"/>
    </row>
    <row r="654" spans="1:8" ht="21">
      <c r="A654" s="1">
        <v>651</v>
      </c>
      <c r="B654" s="21" t="s">
        <v>664</v>
      </c>
      <c r="C654" s="1">
        <v>30587</v>
      </c>
      <c r="D654" s="21" t="s">
        <v>34</v>
      </c>
      <c r="E654" s="74" t="s">
        <v>626</v>
      </c>
      <c r="G654" s="20">
        <f>G653</f>
        <v>0</v>
      </c>
    </row>
    <row r="655" spans="1:8" ht="21">
      <c r="A655" s="1">
        <v>652</v>
      </c>
      <c r="B655" s="21" t="s">
        <v>665</v>
      </c>
      <c r="C655" s="1">
        <v>30588</v>
      </c>
      <c r="D655" s="21" t="s">
        <v>34</v>
      </c>
      <c r="E655" s="74" t="s">
        <v>626</v>
      </c>
      <c r="G655" s="20">
        <f>G654</f>
        <v>0</v>
      </c>
    </row>
    <row r="656" spans="1:8" ht="37.5">
      <c r="A656" s="1">
        <v>653</v>
      </c>
      <c r="B656" s="21" t="s">
        <v>671</v>
      </c>
      <c r="C656" s="1">
        <v>30589</v>
      </c>
      <c r="D656" s="21" t="s">
        <v>34</v>
      </c>
      <c r="E656" s="74" t="s">
        <v>672</v>
      </c>
      <c r="G656" s="20">
        <v>587272490</v>
      </c>
    </row>
    <row r="657" spans="1:8" ht="37.5">
      <c r="A657" s="1">
        <v>654</v>
      </c>
      <c r="B657" s="21" t="s">
        <v>671</v>
      </c>
      <c r="C657" s="1">
        <v>30590</v>
      </c>
      <c r="D657" s="21" t="s">
        <v>34</v>
      </c>
      <c r="E657" s="74" t="s">
        <v>673</v>
      </c>
      <c r="G657" s="20">
        <v>1697075500</v>
      </c>
    </row>
    <row r="658" spans="1:8" ht="56.25">
      <c r="A658" s="1">
        <v>655</v>
      </c>
      <c r="B658" s="21" t="s">
        <v>671</v>
      </c>
      <c r="C658" s="1">
        <v>30591</v>
      </c>
      <c r="D658" s="21" t="s">
        <v>34</v>
      </c>
      <c r="E658" s="74" t="s">
        <v>674</v>
      </c>
      <c r="G658" s="20">
        <v>16655200</v>
      </c>
    </row>
    <row r="659" spans="1:8" ht="75">
      <c r="A659" s="1">
        <v>656</v>
      </c>
      <c r="B659" s="21" t="s">
        <v>671</v>
      </c>
      <c r="C659" s="1">
        <v>30592</v>
      </c>
      <c r="D659" s="21" t="s">
        <v>34</v>
      </c>
      <c r="E659" s="74" t="s">
        <v>526</v>
      </c>
      <c r="G659" s="20">
        <v>50000000</v>
      </c>
    </row>
    <row r="660" spans="1:8" ht="75">
      <c r="A660" s="1">
        <v>657</v>
      </c>
      <c r="B660" s="21" t="s">
        <v>671</v>
      </c>
      <c r="C660" s="1">
        <v>30593</v>
      </c>
      <c r="D660" s="21" t="s">
        <v>34</v>
      </c>
      <c r="E660" s="74" t="s">
        <v>676</v>
      </c>
      <c r="G660" s="20">
        <v>46545350</v>
      </c>
    </row>
    <row r="661" spans="1:8" ht="37.5">
      <c r="A661" s="1">
        <v>658</v>
      </c>
      <c r="B661" s="21" t="s">
        <v>675</v>
      </c>
      <c r="C661" s="1">
        <v>30594</v>
      </c>
      <c r="D661" s="21" t="s">
        <v>34</v>
      </c>
      <c r="E661" s="74" t="s">
        <v>677</v>
      </c>
      <c r="G661" s="20">
        <v>573000000</v>
      </c>
    </row>
    <row r="662" spans="1:8" ht="56.25">
      <c r="A662" s="1">
        <v>659</v>
      </c>
      <c r="B662" s="21" t="s">
        <v>675</v>
      </c>
      <c r="C662" s="1">
        <v>30595</v>
      </c>
      <c r="D662" s="21" t="s">
        <v>34</v>
      </c>
      <c r="E662" s="151" t="s">
        <v>678</v>
      </c>
      <c r="F662" s="157"/>
      <c r="G662" s="20">
        <v>160000000</v>
      </c>
      <c r="H662" s="158"/>
    </row>
    <row r="663" spans="1:8" ht="37.5">
      <c r="A663" s="1">
        <v>660</v>
      </c>
      <c r="B663" s="21" t="s">
        <v>682</v>
      </c>
      <c r="C663" s="1">
        <v>30596</v>
      </c>
      <c r="D663" s="21" t="s">
        <v>34</v>
      </c>
      <c r="E663" s="74" t="s">
        <v>679</v>
      </c>
      <c r="F663" s="155"/>
      <c r="G663" s="20">
        <v>167974000000</v>
      </c>
      <c r="H663" s="156"/>
    </row>
    <row r="664" spans="1:8" ht="37.5">
      <c r="A664" s="1">
        <v>661</v>
      </c>
      <c r="B664" s="21" t="s">
        <v>680</v>
      </c>
      <c r="C664" s="1">
        <v>30597</v>
      </c>
      <c r="D664" s="21" t="s">
        <v>34</v>
      </c>
      <c r="E664" s="74" t="s">
        <v>681</v>
      </c>
      <c r="F664" s="157"/>
      <c r="G664" s="20">
        <v>72790200</v>
      </c>
      <c r="H664" s="158"/>
    </row>
    <row r="665" spans="1:8" ht="37.5">
      <c r="A665" s="1">
        <v>662</v>
      </c>
      <c r="B665" s="21" t="s">
        <v>683</v>
      </c>
      <c r="C665" s="1">
        <v>30598</v>
      </c>
      <c r="D665" s="21" t="s">
        <v>34</v>
      </c>
      <c r="E665" s="74" t="s">
        <v>684</v>
      </c>
      <c r="F665" s="157"/>
      <c r="G665" s="20">
        <v>2471705800</v>
      </c>
      <c r="H665" s="158"/>
    </row>
    <row r="666" spans="1:8" ht="37.5">
      <c r="A666" s="1">
        <v>663</v>
      </c>
      <c r="B666" s="21" t="s">
        <v>683</v>
      </c>
      <c r="C666" s="1">
        <v>30599</v>
      </c>
      <c r="D666" s="21" t="s">
        <v>34</v>
      </c>
      <c r="E666" s="74" t="s">
        <v>685</v>
      </c>
      <c r="F666" s="157"/>
      <c r="G666" s="20">
        <v>226350000</v>
      </c>
      <c r="H666" s="158"/>
    </row>
    <row r="667" spans="1:8" ht="37.5">
      <c r="A667" s="1">
        <v>664</v>
      </c>
      <c r="B667" s="21" t="s">
        <v>683</v>
      </c>
      <c r="C667" s="1">
        <v>30600</v>
      </c>
      <c r="D667" s="21" t="s">
        <v>34</v>
      </c>
      <c r="E667" s="74" t="s">
        <v>672</v>
      </c>
      <c r="F667" s="157"/>
      <c r="G667" s="20">
        <v>733351850</v>
      </c>
      <c r="H667" s="158"/>
    </row>
    <row r="668" spans="1:8" ht="42.75" customHeight="1">
      <c r="A668" s="1">
        <v>665</v>
      </c>
      <c r="B668" s="21" t="s">
        <v>683</v>
      </c>
      <c r="C668" s="1">
        <v>217951</v>
      </c>
      <c r="D668" s="21" t="s">
        <v>34</v>
      </c>
      <c r="E668" s="74" t="s">
        <v>652</v>
      </c>
      <c r="G668" s="20">
        <v>3677333554</v>
      </c>
    </row>
    <row r="669" spans="1:8" ht="37.5">
      <c r="A669" s="1">
        <v>666</v>
      </c>
      <c r="B669" s="21" t="s">
        <v>683</v>
      </c>
      <c r="C669" s="153">
        <v>217952</v>
      </c>
      <c r="D669" s="21" t="s">
        <v>34</v>
      </c>
      <c r="E669" s="74" t="s">
        <v>686</v>
      </c>
      <c r="F669" s="155"/>
      <c r="G669" s="156">
        <v>350000000</v>
      </c>
      <c r="H669" s="156"/>
    </row>
    <row r="670" spans="1:8" ht="37.5">
      <c r="A670" s="1">
        <v>667</v>
      </c>
      <c r="B670" s="21" t="s">
        <v>687</v>
      </c>
      <c r="C670" s="153">
        <v>217953</v>
      </c>
      <c r="D670" s="21" t="s">
        <v>34</v>
      </c>
      <c r="E670" s="74" t="s">
        <v>688</v>
      </c>
      <c r="F670" s="155"/>
      <c r="G670" s="156">
        <v>329494000</v>
      </c>
      <c r="H670" s="156"/>
    </row>
    <row r="671" spans="1:8" ht="37.5">
      <c r="A671" s="1">
        <v>668</v>
      </c>
      <c r="B671" s="21" t="s">
        <v>689</v>
      </c>
      <c r="C671" s="153">
        <v>217954</v>
      </c>
      <c r="D671" s="21" t="s">
        <v>34</v>
      </c>
      <c r="E671" s="74" t="s">
        <v>690</v>
      </c>
      <c r="G671" s="20">
        <v>13160000</v>
      </c>
    </row>
    <row r="672" spans="1:8" ht="37.5">
      <c r="A672" s="1">
        <v>669</v>
      </c>
      <c r="B672" s="21" t="s">
        <v>689</v>
      </c>
      <c r="C672" s="153">
        <v>217955</v>
      </c>
      <c r="D672" s="21" t="s">
        <v>34</v>
      </c>
      <c r="E672" s="74" t="s">
        <v>691</v>
      </c>
      <c r="G672" s="20">
        <v>52320000</v>
      </c>
    </row>
    <row r="673" spans="1:8" ht="37.5">
      <c r="A673" s="1">
        <v>670</v>
      </c>
      <c r="B673" s="21" t="s">
        <v>689</v>
      </c>
      <c r="C673" s="153">
        <v>217956</v>
      </c>
      <c r="D673" s="21" t="s">
        <v>34</v>
      </c>
      <c r="E673" s="74" t="s">
        <v>693</v>
      </c>
      <c r="G673" s="20">
        <v>72727207</v>
      </c>
    </row>
    <row r="674" spans="1:8" ht="37.5">
      <c r="A674" s="1">
        <v>671</v>
      </c>
      <c r="B674" s="21" t="s">
        <v>689</v>
      </c>
      <c r="C674" s="153">
        <v>217957</v>
      </c>
      <c r="D674" s="21" t="s">
        <v>34</v>
      </c>
      <c r="E674" s="74" t="s">
        <v>692</v>
      </c>
      <c r="G674" s="20">
        <v>45234388</v>
      </c>
    </row>
    <row r="675" spans="1:8" ht="37.5">
      <c r="A675" s="1">
        <v>672</v>
      </c>
      <c r="B675" s="21" t="s">
        <v>689</v>
      </c>
      <c r="C675" s="153">
        <v>217958</v>
      </c>
      <c r="D675" s="21" t="s">
        <v>34</v>
      </c>
      <c r="E675" s="74" t="s">
        <v>694</v>
      </c>
      <c r="G675" s="20">
        <v>2298132540</v>
      </c>
    </row>
    <row r="676" spans="1:8" ht="21">
      <c r="A676" s="1">
        <v>673</v>
      </c>
      <c r="B676" s="21" t="s">
        <v>689</v>
      </c>
      <c r="C676" s="153">
        <v>217959</v>
      </c>
      <c r="D676" s="21" t="s">
        <v>34</v>
      </c>
      <c r="E676" s="74" t="s">
        <v>695</v>
      </c>
      <c r="F676" s="155"/>
      <c r="G676" s="156">
        <v>765985184</v>
      </c>
      <c r="H676" s="156"/>
    </row>
    <row r="677" spans="1:8" ht="21">
      <c r="A677" s="1">
        <v>674</v>
      </c>
      <c r="B677" s="21" t="s">
        <v>689</v>
      </c>
      <c r="C677" s="153">
        <v>217960</v>
      </c>
      <c r="D677" s="21" t="s">
        <v>34</v>
      </c>
      <c r="E677" s="150" t="s">
        <v>499</v>
      </c>
      <c r="F677" s="160"/>
      <c r="G677" s="156">
        <v>2000000000</v>
      </c>
      <c r="H677" s="161"/>
    </row>
    <row r="678" spans="1:8" ht="37.5">
      <c r="A678" s="1">
        <v>675</v>
      </c>
      <c r="B678" s="21" t="s">
        <v>689</v>
      </c>
      <c r="C678" s="153">
        <v>217961</v>
      </c>
      <c r="D678" s="21" t="s">
        <v>34</v>
      </c>
      <c r="E678" s="74" t="s">
        <v>696</v>
      </c>
      <c r="F678" s="160"/>
      <c r="G678" s="156">
        <v>218000000</v>
      </c>
      <c r="H678" s="161"/>
    </row>
    <row r="679" spans="1:8" ht="37.5">
      <c r="A679" s="1">
        <v>676</v>
      </c>
      <c r="B679" s="21" t="s">
        <v>689</v>
      </c>
      <c r="C679" s="153">
        <v>217962</v>
      </c>
      <c r="D679" s="21" t="s">
        <v>34</v>
      </c>
      <c r="E679" s="151" t="s">
        <v>697</v>
      </c>
      <c r="F679" s="160"/>
      <c r="G679" s="156">
        <v>85000000</v>
      </c>
      <c r="H679" s="161"/>
    </row>
    <row r="680" spans="1:8" ht="37.5">
      <c r="A680" s="1">
        <v>677</v>
      </c>
      <c r="B680" s="21" t="s">
        <v>698</v>
      </c>
      <c r="C680" s="153">
        <v>217963</v>
      </c>
      <c r="D680" s="21" t="s">
        <v>34</v>
      </c>
      <c r="E680" s="74" t="s">
        <v>700</v>
      </c>
      <c r="F680" s="160"/>
      <c r="G680" s="156">
        <v>900782960</v>
      </c>
      <c r="H680" s="161"/>
    </row>
    <row r="681" spans="1:8" ht="37.5">
      <c r="A681" s="1">
        <v>678</v>
      </c>
      <c r="B681" s="21" t="s">
        <v>698</v>
      </c>
      <c r="C681" s="153">
        <v>217964</v>
      </c>
      <c r="D681" s="21" t="s">
        <v>34</v>
      </c>
      <c r="E681" s="74" t="s">
        <v>699</v>
      </c>
      <c r="F681" s="160"/>
      <c r="G681" s="156">
        <v>117679241</v>
      </c>
      <c r="H681" s="161"/>
    </row>
    <row r="682" spans="1:8" ht="37.5">
      <c r="A682" s="1">
        <v>679</v>
      </c>
      <c r="B682" s="21" t="s">
        <v>701</v>
      </c>
      <c r="C682" s="153">
        <v>217965</v>
      </c>
      <c r="D682" s="21" t="s">
        <v>34</v>
      </c>
      <c r="E682" s="74" t="s">
        <v>702</v>
      </c>
      <c r="F682" s="160"/>
      <c r="G682" s="156">
        <v>400000000</v>
      </c>
      <c r="H682" s="161"/>
    </row>
    <row r="683" spans="1:8" ht="21">
      <c r="A683" s="1">
        <v>680</v>
      </c>
      <c r="B683" s="21" t="s">
        <v>701</v>
      </c>
      <c r="C683" s="153">
        <v>217966</v>
      </c>
      <c r="D683" s="21" t="s">
        <v>34</v>
      </c>
      <c r="E683" s="74" t="s">
        <v>710</v>
      </c>
      <c r="F683" s="160"/>
      <c r="G683" s="156">
        <v>10000000000</v>
      </c>
      <c r="H683" s="161"/>
    </row>
    <row r="684" spans="1:8" ht="37.5">
      <c r="A684" s="1">
        <v>681</v>
      </c>
      <c r="B684" s="21" t="s">
        <v>701</v>
      </c>
      <c r="C684" s="153">
        <v>217967</v>
      </c>
      <c r="D684" s="21" t="s">
        <v>34</v>
      </c>
      <c r="E684" s="74" t="s">
        <v>703</v>
      </c>
      <c r="G684" s="73">
        <v>75390000</v>
      </c>
      <c r="H684" s="161"/>
    </row>
    <row r="685" spans="1:8" ht="37.5">
      <c r="A685" s="1">
        <v>682</v>
      </c>
      <c r="B685" s="21" t="s">
        <v>701</v>
      </c>
      <c r="C685" s="153">
        <v>217968</v>
      </c>
      <c r="D685" s="21" t="s">
        <v>34</v>
      </c>
      <c r="E685" s="74" t="s">
        <v>704</v>
      </c>
      <c r="G685" s="73">
        <v>1197670200</v>
      </c>
      <c r="H685" s="161"/>
    </row>
    <row r="686" spans="1:8" ht="21">
      <c r="A686" s="1">
        <v>683</v>
      </c>
      <c r="B686" s="21" t="s">
        <v>701</v>
      </c>
      <c r="C686" s="153">
        <v>217969</v>
      </c>
      <c r="D686" s="21" t="s">
        <v>34</v>
      </c>
      <c r="E686" s="74" t="s">
        <v>626</v>
      </c>
      <c r="F686" s="160"/>
      <c r="G686" s="73">
        <v>0</v>
      </c>
      <c r="H686" s="161"/>
    </row>
    <row r="687" spans="1:8" ht="37.5">
      <c r="A687" s="1">
        <v>684</v>
      </c>
      <c r="B687" s="21" t="s">
        <v>705</v>
      </c>
      <c r="C687" s="153">
        <v>217970</v>
      </c>
      <c r="D687" s="21" t="s">
        <v>34</v>
      </c>
      <c r="E687" s="74" t="s">
        <v>706</v>
      </c>
      <c r="F687" s="160"/>
      <c r="G687" s="73">
        <v>51506000</v>
      </c>
      <c r="H687" s="161"/>
    </row>
    <row r="688" spans="1:8" ht="56.25">
      <c r="A688" s="1">
        <v>685</v>
      </c>
      <c r="B688" s="21" t="s">
        <v>708</v>
      </c>
      <c r="C688" s="153">
        <v>217971</v>
      </c>
      <c r="D688" s="21" t="s">
        <v>34</v>
      </c>
      <c r="E688" s="74" t="s">
        <v>707</v>
      </c>
      <c r="F688" s="160"/>
      <c r="G688" s="73">
        <v>380000000</v>
      </c>
      <c r="H688" s="161"/>
    </row>
    <row r="689" spans="1:8" ht="56.25">
      <c r="A689" s="1">
        <v>686</v>
      </c>
      <c r="B689" s="21" t="s">
        <v>708</v>
      </c>
      <c r="C689" s="153">
        <v>217972</v>
      </c>
      <c r="D689" s="21" t="s">
        <v>34</v>
      </c>
      <c r="E689" s="74" t="s">
        <v>709</v>
      </c>
      <c r="F689" s="160"/>
      <c r="G689" s="73">
        <v>163546649</v>
      </c>
      <c r="H689" s="161"/>
    </row>
    <row r="690" spans="1:8" ht="75">
      <c r="A690" s="1">
        <v>687</v>
      </c>
      <c r="B690" s="21" t="s">
        <v>708</v>
      </c>
      <c r="C690" s="153">
        <v>217973</v>
      </c>
      <c r="D690" s="21" t="s">
        <v>34</v>
      </c>
      <c r="E690" s="74" t="s">
        <v>526</v>
      </c>
      <c r="F690" s="160"/>
      <c r="G690" s="73">
        <v>50000000</v>
      </c>
      <c r="H690" s="161"/>
    </row>
    <row r="691" spans="1:8" ht="37.5">
      <c r="A691" s="1">
        <v>688</v>
      </c>
      <c r="B691" s="21" t="s">
        <v>713</v>
      </c>
      <c r="C691" s="153">
        <v>217974</v>
      </c>
      <c r="D691" s="21" t="s">
        <v>34</v>
      </c>
      <c r="E691" s="74" t="s">
        <v>711</v>
      </c>
      <c r="G691" s="20">
        <v>12000000</v>
      </c>
    </row>
    <row r="692" spans="1:8" ht="37.5">
      <c r="A692" s="1">
        <v>689</v>
      </c>
      <c r="B692" s="21" t="s">
        <v>713</v>
      </c>
      <c r="C692" s="153">
        <v>217975</v>
      </c>
      <c r="D692" s="21" t="s">
        <v>34</v>
      </c>
      <c r="E692" s="74" t="s">
        <v>714</v>
      </c>
      <c r="G692" s="20">
        <v>99190000</v>
      </c>
    </row>
    <row r="693" spans="1:8" ht="56.25">
      <c r="A693" s="1">
        <v>690</v>
      </c>
      <c r="B693" s="21" t="s">
        <v>713</v>
      </c>
      <c r="C693" s="153">
        <v>217976</v>
      </c>
      <c r="D693" s="21" t="s">
        <v>34</v>
      </c>
      <c r="E693" s="74" t="s">
        <v>712</v>
      </c>
      <c r="G693" s="20">
        <v>21800000</v>
      </c>
    </row>
    <row r="694" spans="1:8" ht="37.5">
      <c r="A694" s="1">
        <v>691</v>
      </c>
      <c r="B694" s="21" t="s">
        <v>713</v>
      </c>
      <c r="C694" s="153">
        <v>217977</v>
      </c>
      <c r="D694" s="21" t="s">
        <v>34</v>
      </c>
      <c r="E694" s="74" t="s">
        <v>715</v>
      </c>
      <c r="G694" s="20">
        <v>646829775</v>
      </c>
    </row>
    <row r="695" spans="1:8" ht="37.5">
      <c r="A695" s="1">
        <v>692</v>
      </c>
      <c r="B695" s="21" t="s">
        <v>713</v>
      </c>
      <c r="C695" s="153">
        <v>217978</v>
      </c>
      <c r="D695" s="21" t="s">
        <v>34</v>
      </c>
      <c r="E695" s="74" t="s">
        <v>716</v>
      </c>
      <c r="G695" s="20">
        <v>229812585</v>
      </c>
    </row>
    <row r="696" spans="1:8" ht="37.5">
      <c r="A696" s="1">
        <v>693</v>
      </c>
      <c r="B696" s="21" t="s">
        <v>713</v>
      </c>
      <c r="C696" s="153">
        <v>217979</v>
      </c>
      <c r="D696" s="21" t="s">
        <v>34</v>
      </c>
      <c r="E696" s="74" t="s">
        <v>717</v>
      </c>
      <c r="G696" s="20">
        <v>224093100</v>
      </c>
    </row>
    <row r="697" spans="1:8" ht="37.5">
      <c r="A697" s="1">
        <v>694</v>
      </c>
      <c r="B697" s="21" t="s">
        <v>718</v>
      </c>
      <c r="C697" s="153">
        <v>217980</v>
      </c>
      <c r="D697" s="21" t="s">
        <v>34</v>
      </c>
      <c r="E697" s="74" t="s">
        <v>719</v>
      </c>
      <c r="F697" s="160"/>
      <c r="G697" s="161">
        <v>1022659800</v>
      </c>
      <c r="H697" s="161"/>
    </row>
    <row r="698" spans="1:8" ht="75">
      <c r="A698" s="1">
        <v>695</v>
      </c>
      <c r="B698" s="21" t="s">
        <v>718</v>
      </c>
      <c r="C698" s="153">
        <v>217981</v>
      </c>
      <c r="D698" s="21" t="s">
        <v>34</v>
      </c>
      <c r="E698" s="74" t="s">
        <v>526</v>
      </c>
      <c r="F698" s="160"/>
      <c r="G698" s="161">
        <v>100000000</v>
      </c>
      <c r="H698" s="161"/>
    </row>
    <row r="699" spans="1:8" ht="37.5">
      <c r="A699" s="1">
        <v>696</v>
      </c>
      <c r="B699" s="21" t="s">
        <v>720</v>
      </c>
      <c r="C699" s="153">
        <v>217982</v>
      </c>
      <c r="D699" s="21" t="s">
        <v>34</v>
      </c>
      <c r="E699" s="74" t="s">
        <v>722</v>
      </c>
      <c r="F699" s="160"/>
      <c r="G699" s="161">
        <v>1400000000</v>
      </c>
      <c r="H699" s="161"/>
    </row>
    <row r="700" spans="1:8" ht="37.5">
      <c r="A700" s="1">
        <v>697</v>
      </c>
      <c r="B700" s="21" t="s">
        <v>720</v>
      </c>
      <c r="C700" s="1">
        <v>217983</v>
      </c>
      <c r="D700" s="21" t="s">
        <v>34</v>
      </c>
      <c r="E700" s="92" t="s">
        <v>721</v>
      </c>
      <c r="G700" s="20">
        <v>18312000</v>
      </c>
    </row>
    <row r="701" spans="1:8" ht="37.5">
      <c r="A701" s="1">
        <v>698</v>
      </c>
      <c r="B701" s="21" t="s">
        <v>720</v>
      </c>
      <c r="C701" s="153">
        <v>217984</v>
      </c>
      <c r="D701" s="21" t="s">
        <v>34</v>
      </c>
      <c r="E701" s="74" t="s">
        <v>724</v>
      </c>
      <c r="G701" s="20">
        <v>118125000</v>
      </c>
    </row>
    <row r="702" spans="1:8" ht="37.5">
      <c r="A702" s="1">
        <v>699</v>
      </c>
      <c r="B702" s="21" t="s">
        <v>720</v>
      </c>
      <c r="C702" s="1">
        <v>217985</v>
      </c>
      <c r="D702" s="21" t="s">
        <v>34</v>
      </c>
      <c r="E702" s="74" t="s">
        <v>723</v>
      </c>
      <c r="G702" s="20">
        <v>857633800</v>
      </c>
    </row>
    <row r="703" spans="1:8" ht="21">
      <c r="A703" s="1">
        <v>700</v>
      </c>
      <c r="B703" s="21" t="s">
        <v>720</v>
      </c>
      <c r="C703" s="153">
        <v>217986</v>
      </c>
      <c r="D703" s="21" t="s">
        <v>34</v>
      </c>
      <c r="E703" s="74" t="s">
        <v>710</v>
      </c>
      <c r="G703" s="20">
        <v>5000000000</v>
      </c>
    </row>
    <row r="704" spans="1:8" ht="56.25">
      <c r="A704" s="1">
        <v>701</v>
      </c>
      <c r="B704" s="21" t="s">
        <v>720</v>
      </c>
      <c r="C704" s="1">
        <v>217987</v>
      </c>
      <c r="D704" s="21" t="s">
        <v>34</v>
      </c>
      <c r="E704" s="74" t="s">
        <v>725</v>
      </c>
      <c r="G704" s="20">
        <v>1500000000</v>
      </c>
    </row>
    <row r="705" spans="1:7" ht="37.5">
      <c r="A705" s="1">
        <v>702</v>
      </c>
      <c r="B705" s="21" t="s">
        <v>726</v>
      </c>
      <c r="C705" s="1">
        <v>217988</v>
      </c>
      <c r="D705" s="21" t="s">
        <v>34</v>
      </c>
      <c r="E705" s="74" t="s">
        <v>727</v>
      </c>
      <c r="G705" s="20">
        <v>37884000</v>
      </c>
    </row>
    <row r="706" spans="1:7" ht="75">
      <c r="A706" s="1">
        <v>703</v>
      </c>
      <c r="B706" s="21" t="s">
        <v>728</v>
      </c>
      <c r="C706" s="1">
        <v>217989</v>
      </c>
      <c r="D706" s="21" t="s">
        <v>34</v>
      </c>
      <c r="E706" s="74" t="s">
        <v>729</v>
      </c>
      <c r="G706" s="20">
        <v>4000000000</v>
      </c>
    </row>
    <row r="707" spans="1:7" ht="37.5">
      <c r="A707" s="1">
        <v>704</v>
      </c>
      <c r="B707" s="21" t="s">
        <v>730</v>
      </c>
      <c r="C707" s="1">
        <v>217990</v>
      </c>
      <c r="D707" s="21" t="s">
        <v>34</v>
      </c>
      <c r="E707" s="74" t="s">
        <v>731</v>
      </c>
      <c r="G707" s="20">
        <v>25000000</v>
      </c>
    </row>
    <row r="708" spans="1:7" ht="37.5">
      <c r="A708" s="1">
        <v>705</v>
      </c>
      <c r="B708" s="21" t="s">
        <v>733</v>
      </c>
      <c r="C708" s="1">
        <v>217991</v>
      </c>
      <c r="D708" s="21" t="s">
        <v>34</v>
      </c>
      <c r="E708" s="74" t="s">
        <v>735</v>
      </c>
      <c r="G708" s="20">
        <v>2450000000</v>
      </c>
    </row>
    <row r="709" spans="1:7" ht="37.5">
      <c r="A709" s="1">
        <v>706</v>
      </c>
      <c r="B709" s="21" t="s">
        <v>733</v>
      </c>
      <c r="C709" s="1">
        <v>217992</v>
      </c>
      <c r="D709" s="21" t="s">
        <v>34</v>
      </c>
      <c r="E709" s="74" t="s">
        <v>734</v>
      </c>
      <c r="G709" s="20">
        <v>1524347000</v>
      </c>
    </row>
    <row r="710" spans="1:7" ht="37.5">
      <c r="A710" s="1">
        <v>707</v>
      </c>
      <c r="B710" s="21" t="s">
        <v>736</v>
      </c>
      <c r="C710" s="1">
        <v>217993</v>
      </c>
      <c r="D710" s="21" t="s">
        <v>34</v>
      </c>
      <c r="E710" s="74" t="s">
        <v>737</v>
      </c>
      <c r="G710" s="20">
        <v>30944884</v>
      </c>
    </row>
    <row r="711" spans="1:7" ht="37.5">
      <c r="A711" s="1">
        <v>708</v>
      </c>
      <c r="B711" s="21" t="s">
        <v>739</v>
      </c>
      <c r="C711" s="1">
        <v>217994</v>
      </c>
      <c r="D711" s="21" t="s">
        <v>34</v>
      </c>
      <c r="E711" s="74" t="s">
        <v>738</v>
      </c>
      <c r="G711" s="20">
        <v>2626478000</v>
      </c>
    </row>
    <row r="712" spans="1:7" ht="75">
      <c r="A712" s="1">
        <v>709</v>
      </c>
      <c r="B712" s="21" t="s">
        <v>739</v>
      </c>
      <c r="C712" s="1">
        <v>217995</v>
      </c>
      <c r="D712" s="21" t="s">
        <v>34</v>
      </c>
      <c r="E712" s="74" t="s">
        <v>526</v>
      </c>
      <c r="G712" s="20">
        <v>50000000</v>
      </c>
    </row>
    <row r="713" spans="1:7" ht="37.5">
      <c r="A713" s="1">
        <v>710</v>
      </c>
      <c r="B713" s="21" t="s">
        <v>740</v>
      </c>
      <c r="C713" s="1">
        <v>217996</v>
      </c>
      <c r="D713" s="21" t="s">
        <v>34</v>
      </c>
      <c r="E713" s="74" t="s">
        <v>741</v>
      </c>
      <c r="G713" s="20">
        <v>817853900</v>
      </c>
    </row>
    <row r="714" spans="1:7" ht="37.5">
      <c r="A714" s="1">
        <v>711</v>
      </c>
      <c r="B714" s="21" t="s">
        <v>740</v>
      </c>
      <c r="C714" s="1">
        <v>346602</v>
      </c>
      <c r="D714" s="21" t="s">
        <v>34</v>
      </c>
      <c r="E714" s="74" t="s">
        <v>747</v>
      </c>
      <c r="G714" s="20">
        <v>28000000</v>
      </c>
    </row>
    <row r="715" spans="1:7" ht="37.5">
      <c r="A715" s="1">
        <v>712</v>
      </c>
      <c r="B715" s="21" t="s">
        <v>740</v>
      </c>
      <c r="C715" s="1">
        <v>217998</v>
      </c>
      <c r="D715" s="21" t="s">
        <v>34</v>
      </c>
      <c r="E715" s="74" t="s">
        <v>742</v>
      </c>
      <c r="G715" s="20">
        <v>6580000</v>
      </c>
    </row>
    <row r="716" spans="1:7" ht="56.25">
      <c r="A716" s="1">
        <v>713</v>
      </c>
      <c r="B716" s="21" t="s">
        <v>740</v>
      </c>
      <c r="C716" s="1">
        <v>217999</v>
      </c>
      <c r="D716" s="21" t="s">
        <v>34</v>
      </c>
      <c r="E716" s="74" t="s">
        <v>743</v>
      </c>
      <c r="G716" s="20">
        <v>128230830</v>
      </c>
    </row>
    <row r="717" spans="1:7" ht="56.25">
      <c r="A717" s="1">
        <v>714</v>
      </c>
      <c r="B717" s="21" t="s">
        <v>740</v>
      </c>
      <c r="C717" s="1">
        <v>218000</v>
      </c>
      <c r="D717" s="21" t="s">
        <v>34</v>
      </c>
      <c r="E717" s="74" t="s">
        <v>744</v>
      </c>
      <c r="G717" s="20">
        <v>204000000</v>
      </c>
    </row>
    <row r="718" spans="1:7" ht="37.5">
      <c r="A718" s="1">
        <v>715</v>
      </c>
      <c r="B718" s="21" t="s">
        <v>740</v>
      </c>
      <c r="C718" s="1">
        <v>346601</v>
      </c>
      <c r="D718" s="21" t="s">
        <v>34</v>
      </c>
      <c r="E718" s="74" t="s">
        <v>745</v>
      </c>
      <c r="G718" s="20">
        <v>322500000</v>
      </c>
    </row>
    <row r="719" spans="1:7" ht="56.25">
      <c r="A719" s="1">
        <v>716</v>
      </c>
      <c r="B719" s="21" t="s">
        <v>740</v>
      </c>
      <c r="C719" s="1">
        <v>217997</v>
      </c>
      <c r="D719" s="21" t="s">
        <v>34</v>
      </c>
      <c r="E719" s="74" t="s">
        <v>746</v>
      </c>
      <c r="G719" s="20">
        <v>50000000000</v>
      </c>
    </row>
    <row r="720" spans="1:7" ht="37.5">
      <c r="A720" s="1">
        <v>717</v>
      </c>
      <c r="B720" s="21" t="s">
        <v>682</v>
      </c>
      <c r="C720" s="1">
        <v>346603</v>
      </c>
      <c r="D720" s="21" t="s">
        <v>34</v>
      </c>
      <c r="E720" s="74" t="s">
        <v>748</v>
      </c>
      <c r="G720" s="20">
        <v>2332673813</v>
      </c>
    </row>
    <row r="721" spans="1:8" ht="37.5">
      <c r="A721" s="1">
        <v>718</v>
      </c>
      <c r="B721" s="21" t="s">
        <v>682</v>
      </c>
      <c r="C721" s="1">
        <v>346604</v>
      </c>
      <c r="D721" s="21" t="s">
        <v>34</v>
      </c>
      <c r="E721" s="74" t="s">
        <v>749</v>
      </c>
      <c r="G721" s="20">
        <v>763139045</v>
      </c>
    </row>
    <row r="722" spans="1:8" ht="21">
      <c r="A722" s="1">
        <v>719</v>
      </c>
      <c r="B722" s="21" t="s">
        <v>682</v>
      </c>
      <c r="C722" s="1">
        <v>346605</v>
      </c>
      <c r="D722" s="21" t="s">
        <v>34</v>
      </c>
      <c r="E722" s="150" t="s">
        <v>499</v>
      </c>
      <c r="G722" s="20">
        <v>2000000000</v>
      </c>
    </row>
    <row r="723" spans="1:8" ht="37.5">
      <c r="A723" s="1">
        <v>720</v>
      </c>
      <c r="B723" s="21" t="s">
        <v>750</v>
      </c>
      <c r="C723" s="1">
        <v>346606</v>
      </c>
      <c r="D723" s="21" t="s">
        <v>34</v>
      </c>
      <c r="E723" s="74" t="s">
        <v>751</v>
      </c>
      <c r="F723" s="162"/>
      <c r="G723" s="20">
        <v>55803000</v>
      </c>
      <c r="H723" s="163"/>
    </row>
    <row r="724" spans="1:8" ht="56.25">
      <c r="A724" s="1">
        <v>721</v>
      </c>
      <c r="B724" s="21" t="s">
        <v>750</v>
      </c>
      <c r="C724" s="1">
        <v>346607</v>
      </c>
      <c r="D724" s="21" t="s">
        <v>34</v>
      </c>
      <c r="E724" s="74" t="s">
        <v>752</v>
      </c>
      <c r="F724" s="162"/>
      <c r="G724" s="20">
        <v>614250000</v>
      </c>
      <c r="H724" s="163"/>
    </row>
    <row r="725" spans="1:8" ht="56.25">
      <c r="A725" s="1">
        <v>722</v>
      </c>
      <c r="B725" s="21" t="s">
        <v>756</v>
      </c>
      <c r="C725" s="1">
        <v>346608</v>
      </c>
      <c r="D725" s="21" t="s">
        <v>34</v>
      </c>
      <c r="E725" s="74" t="s">
        <v>753</v>
      </c>
      <c r="F725" s="162"/>
      <c r="G725" s="20">
        <v>119387700</v>
      </c>
      <c r="H725" s="163"/>
    </row>
    <row r="726" spans="1:8" ht="37.5">
      <c r="A726" s="1">
        <v>723</v>
      </c>
      <c r="B726" s="21" t="s">
        <v>756</v>
      </c>
      <c r="C726" s="1">
        <v>346609</v>
      </c>
      <c r="D726" s="21" t="s">
        <v>34</v>
      </c>
      <c r="E726" s="74" t="s">
        <v>757</v>
      </c>
      <c r="F726" s="162"/>
      <c r="G726" s="20">
        <v>20000000000</v>
      </c>
      <c r="H726" s="163"/>
    </row>
    <row r="727" spans="1:8" ht="37.5">
      <c r="A727" s="1">
        <v>724</v>
      </c>
      <c r="B727" s="21" t="s">
        <v>756</v>
      </c>
      <c r="C727" s="1">
        <v>346610</v>
      </c>
      <c r="D727" s="21" t="s">
        <v>34</v>
      </c>
      <c r="E727" s="74" t="s">
        <v>754</v>
      </c>
      <c r="F727" s="162"/>
      <c r="G727" s="20">
        <v>94000000</v>
      </c>
      <c r="H727" s="163"/>
    </row>
    <row r="728" spans="1:8" ht="37.5">
      <c r="A728" s="1">
        <v>725</v>
      </c>
      <c r="B728" s="21" t="s">
        <v>756</v>
      </c>
      <c r="C728" s="1">
        <v>346611</v>
      </c>
      <c r="D728" s="21" t="s">
        <v>34</v>
      </c>
      <c r="E728" s="74" t="s">
        <v>755</v>
      </c>
      <c r="F728" s="162"/>
      <c r="G728" s="20">
        <v>71940000</v>
      </c>
      <c r="H728" s="163"/>
    </row>
    <row r="729" spans="1:8" ht="21">
      <c r="A729" s="1">
        <v>726</v>
      </c>
      <c r="B729" s="21" t="s">
        <v>756</v>
      </c>
      <c r="C729" s="1">
        <v>346612</v>
      </c>
      <c r="D729" s="21" t="s">
        <v>34</v>
      </c>
      <c r="E729" s="74" t="s">
        <v>255</v>
      </c>
      <c r="F729" s="162"/>
      <c r="G729" s="20">
        <v>35000000000</v>
      </c>
      <c r="H729" s="163"/>
    </row>
    <row r="730" spans="1:8" ht="37.5">
      <c r="A730" s="1">
        <v>727</v>
      </c>
      <c r="B730" s="21" t="s">
        <v>758</v>
      </c>
      <c r="C730" s="1">
        <v>346613</v>
      </c>
      <c r="D730" s="21" t="s">
        <v>34</v>
      </c>
      <c r="E730" s="74" t="s">
        <v>759</v>
      </c>
      <c r="F730" s="162"/>
      <c r="G730" s="20">
        <v>1271461600</v>
      </c>
      <c r="H730" s="163"/>
    </row>
    <row r="731" spans="1:8" ht="56.25">
      <c r="A731" s="1">
        <v>728</v>
      </c>
      <c r="B731" s="21" t="s">
        <v>758</v>
      </c>
      <c r="C731" s="1">
        <v>346614</v>
      </c>
      <c r="D731" s="21" t="s">
        <v>34</v>
      </c>
      <c r="E731" s="74" t="s">
        <v>761</v>
      </c>
      <c r="F731" s="162"/>
      <c r="G731" s="20">
        <v>46368600</v>
      </c>
      <c r="H731" s="163"/>
    </row>
    <row r="732" spans="1:8" ht="56.25">
      <c r="A732" s="1">
        <v>729</v>
      </c>
      <c r="B732" s="21" t="s">
        <v>762</v>
      </c>
      <c r="C732" s="1">
        <v>346615</v>
      </c>
      <c r="D732" s="21" t="s">
        <v>34</v>
      </c>
      <c r="E732" s="74" t="s">
        <v>763</v>
      </c>
      <c r="G732" s="20">
        <v>1228500000</v>
      </c>
    </row>
    <row r="733" spans="1:8" ht="37.5">
      <c r="A733" s="1">
        <v>730</v>
      </c>
      <c r="B733" s="21" t="s">
        <v>762</v>
      </c>
      <c r="C733" s="1">
        <v>346616</v>
      </c>
      <c r="D733" s="21" t="s">
        <v>34</v>
      </c>
      <c r="E733" s="74" t="s">
        <v>764</v>
      </c>
      <c r="G733" s="20">
        <v>460320000</v>
      </c>
    </row>
    <row r="734" spans="1:8" ht="56.25">
      <c r="A734" s="1">
        <v>731</v>
      </c>
      <c r="B734" s="21" t="s">
        <v>762</v>
      </c>
      <c r="C734" s="1">
        <v>346617</v>
      </c>
      <c r="D734" s="21" t="s">
        <v>34</v>
      </c>
      <c r="E734" s="74" t="s">
        <v>760</v>
      </c>
      <c r="F734" s="162"/>
      <c r="G734" s="20">
        <v>43680000</v>
      </c>
    </row>
    <row r="735" spans="1:8" ht="37.5">
      <c r="A735" s="1">
        <v>732</v>
      </c>
      <c r="B735" s="21" t="s">
        <v>762</v>
      </c>
      <c r="C735" s="1">
        <v>346618</v>
      </c>
      <c r="D735" s="21" t="s">
        <v>34</v>
      </c>
      <c r="E735" s="74" t="s">
        <v>765</v>
      </c>
      <c r="G735" s="20">
        <v>8900000</v>
      </c>
    </row>
    <row r="736" spans="1:8" ht="56.25">
      <c r="A736" s="1">
        <v>733</v>
      </c>
      <c r="B736" s="21" t="s">
        <v>762</v>
      </c>
      <c r="C736" s="1">
        <v>346619</v>
      </c>
      <c r="D736" s="21" t="s">
        <v>34</v>
      </c>
      <c r="E736" s="74" t="s">
        <v>766</v>
      </c>
      <c r="G736" s="20">
        <v>17000000</v>
      </c>
    </row>
    <row r="737" spans="1:8" ht="37.5">
      <c r="A737" s="1">
        <v>734</v>
      </c>
      <c r="B737" s="21" t="s">
        <v>762</v>
      </c>
      <c r="C737" s="1">
        <v>346620</v>
      </c>
      <c r="D737" s="21" t="s">
        <v>34</v>
      </c>
      <c r="E737" s="74" t="s">
        <v>767</v>
      </c>
      <c r="G737" s="20">
        <v>1000810942</v>
      </c>
    </row>
    <row r="738" spans="1:8" ht="54.75" customHeight="1">
      <c r="A738" s="1">
        <v>735</v>
      </c>
      <c r="B738" s="21" t="s">
        <v>768</v>
      </c>
      <c r="C738" s="1">
        <v>346621</v>
      </c>
      <c r="D738" s="21" t="s">
        <v>34</v>
      </c>
      <c r="E738" s="74" t="s">
        <v>526</v>
      </c>
      <c r="G738" s="20">
        <v>50000000</v>
      </c>
    </row>
    <row r="739" spans="1:8" ht="21">
      <c r="A739" s="1">
        <v>736</v>
      </c>
      <c r="B739" s="21" t="s">
        <v>769</v>
      </c>
      <c r="C739" s="1">
        <v>346622</v>
      </c>
      <c r="D739" s="21" t="s">
        <v>34</v>
      </c>
      <c r="E739" s="74" t="s">
        <v>710</v>
      </c>
      <c r="G739" s="20">
        <v>8000000000</v>
      </c>
    </row>
    <row r="740" spans="1:8" ht="37.5">
      <c r="A740" s="1">
        <v>737</v>
      </c>
      <c r="B740" s="21" t="s">
        <v>769</v>
      </c>
      <c r="C740" s="1">
        <v>346623</v>
      </c>
      <c r="D740" s="21" t="s">
        <v>34</v>
      </c>
      <c r="E740" s="74" t="s">
        <v>757</v>
      </c>
      <c r="F740" s="162"/>
      <c r="G740" s="20">
        <v>20000000000</v>
      </c>
      <c r="H740" s="163"/>
    </row>
    <row r="741" spans="1:8" ht="37.5">
      <c r="A741" s="1">
        <v>738</v>
      </c>
      <c r="B741" s="21" t="s">
        <v>770</v>
      </c>
      <c r="C741" s="1">
        <v>346624</v>
      </c>
      <c r="D741" s="21" t="s">
        <v>34</v>
      </c>
      <c r="E741" s="74" t="s">
        <v>771</v>
      </c>
      <c r="G741" s="20">
        <v>71914000</v>
      </c>
    </row>
    <row r="742" spans="1:8" ht="37.5">
      <c r="A742" s="1">
        <v>739</v>
      </c>
      <c r="B742" s="21" t="s">
        <v>770</v>
      </c>
      <c r="C742" s="1">
        <v>346625</v>
      </c>
      <c r="D742" s="21" t="s">
        <v>34</v>
      </c>
      <c r="E742" s="74" t="s">
        <v>773</v>
      </c>
      <c r="G742" s="20">
        <v>152600000</v>
      </c>
    </row>
    <row r="743" spans="1:8" ht="37.5">
      <c r="A743" s="1">
        <v>740</v>
      </c>
      <c r="B743" s="21" t="s">
        <v>770</v>
      </c>
      <c r="C743" s="1">
        <v>346626</v>
      </c>
      <c r="D743" s="21" t="s">
        <v>34</v>
      </c>
      <c r="E743" s="74" t="s">
        <v>772</v>
      </c>
      <c r="G743" s="20">
        <v>1098805500</v>
      </c>
    </row>
    <row r="744" spans="1:8" ht="21">
      <c r="A744" s="1">
        <v>741</v>
      </c>
      <c r="B744" s="21" t="s">
        <v>774</v>
      </c>
      <c r="C744" s="1">
        <v>346627</v>
      </c>
      <c r="D744" s="21" t="s">
        <v>34</v>
      </c>
      <c r="E744" s="74" t="s">
        <v>710</v>
      </c>
      <c r="G744" s="20">
        <v>10000000000</v>
      </c>
    </row>
    <row r="745" spans="1:8" ht="37.5">
      <c r="A745" s="1">
        <v>742</v>
      </c>
      <c r="B745" s="21" t="s">
        <v>775</v>
      </c>
      <c r="C745" s="1">
        <v>346628</v>
      </c>
      <c r="D745" s="21" t="s">
        <v>34</v>
      </c>
      <c r="E745" s="74" t="s">
        <v>776</v>
      </c>
      <c r="G745" s="20">
        <v>1024996000</v>
      </c>
    </row>
    <row r="746" spans="1:8" ht="37.5">
      <c r="A746" s="1">
        <v>743</v>
      </c>
      <c r="B746" s="21" t="s">
        <v>775</v>
      </c>
      <c r="C746" s="1">
        <v>346629</v>
      </c>
      <c r="D746" s="21" t="s">
        <v>34</v>
      </c>
      <c r="E746" s="74" t="s">
        <v>777</v>
      </c>
      <c r="G746" s="20">
        <v>112848790</v>
      </c>
    </row>
    <row r="747" spans="1:8" ht="37.5">
      <c r="A747" s="1">
        <v>744</v>
      </c>
      <c r="B747" s="21" t="s">
        <v>778</v>
      </c>
      <c r="C747" s="1">
        <v>346630</v>
      </c>
      <c r="D747" s="21" t="s">
        <v>34</v>
      </c>
      <c r="E747" s="74" t="s">
        <v>779</v>
      </c>
      <c r="G747" s="20">
        <v>64150000</v>
      </c>
    </row>
    <row r="748" spans="1:8" ht="75">
      <c r="A748" s="1">
        <v>745</v>
      </c>
      <c r="B748" s="21" t="s">
        <v>778</v>
      </c>
      <c r="C748" s="1">
        <v>346631</v>
      </c>
      <c r="D748" s="21" t="s">
        <v>34</v>
      </c>
      <c r="E748" s="74" t="s">
        <v>526</v>
      </c>
      <c r="G748" s="20">
        <v>50000000</v>
      </c>
    </row>
    <row r="749" spans="1:8" ht="75">
      <c r="A749" s="1">
        <v>746</v>
      </c>
      <c r="B749" s="21" t="s">
        <v>778</v>
      </c>
      <c r="C749" s="1">
        <v>346632</v>
      </c>
      <c r="D749" s="21" t="s">
        <v>34</v>
      </c>
      <c r="E749" s="74" t="s">
        <v>780</v>
      </c>
      <c r="G749" s="20">
        <v>99012774</v>
      </c>
    </row>
    <row r="750" spans="1:8" ht="37.5">
      <c r="A750" s="1">
        <v>747</v>
      </c>
      <c r="B750" s="21" t="s">
        <v>778</v>
      </c>
      <c r="C750" s="1">
        <v>346633</v>
      </c>
      <c r="D750" s="21" t="s">
        <v>34</v>
      </c>
      <c r="E750" s="74" t="s">
        <v>783</v>
      </c>
      <c r="F750" s="164"/>
      <c r="G750" s="20">
        <v>30000000000</v>
      </c>
      <c r="H750" s="165"/>
    </row>
    <row r="751" spans="1:8" ht="37.5">
      <c r="A751" s="1">
        <v>748</v>
      </c>
      <c r="B751" s="21" t="s">
        <v>781</v>
      </c>
      <c r="C751" s="1">
        <v>346634</v>
      </c>
      <c r="D751" s="21" t="s">
        <v>34</v>
      </c>
      <c r="E751" s="74" t="s">
        <v>782</v>
      </c>
      <c r="G751" s="20">
        <v>345662500</v>
      </c>
    </row>
    <row r="752" spans="1:8" ht="37.5">
      <c r="A752" s="1">
        <v>749</v>
      </c>
      <c r="B752" s="21" t="s">
        <v>784</v>
      </c>
      <c r="C752" s="1">
        <v>346635</v>
      </c>
      <c r="D752" s="21" t="s">
        <v>34</v>
      </c>
      <c r="E752" s="74" t="s">
        <v>785</v>
      </c>
      <c r="F752" s="164"/>
      <c r="G752" s="20">
        <v>97500000</v>
      </c>
      <c r="H752" s="165"/>
    </row>
    <row r="753" spans="1:8" ht="37.5">
      <c r="A753" s="1">
        <v>750</v>
      </c>
      <c r="B753" s="21" t="s">
        <v>784</v>
      </c>
      <c r="C753" s="1">
        <v>346636</v>
      </c>
      <c r="D753" s="21" t="s">
        <v>34</v>
      </c>
      <c r="E753" s="74" t="s">
        <v>786</v>
      </c>
      <c r="F753" s="164"/>
      <c r="G753" s="20">
        <v>120000000</v>
      </c>
      <c r="H753" s="165"/>
    </row>
    <row r="754" spans="1:8" ht="37.5">
      <c r="A754" s="1">
        <v>751</v>
      </c>
      <c r="B754" s="21" t="s">
        <v>787</v>
      </c>
      <c r="C754" s="1">
        <v>346637</v>
      </c>
      <c r="D754" s="21" t="s">
        <v>34</v>
      </c>
      <c r="E754" s="74" t="s">
        <v>788</v>
      </c>
      <c r="F754" s="164"/>
      <c r="G754" s="20">
        <v>2295903791</v>
      </c>
      <c r="H754" s="165"/>
    </row>
    <row r="755" spans="1:8" ht="21">
      <c r="A755" s="1">
        <v>752</v>
      </c>
      <c r="B755" s="21" t="s">
        <v>787</v>
      </c>
      <c r="C755" s="1">
        <v>346638</v>
      </c>
      <c r="D755" s="21" t="s">
        <v>34</v>
      </c>
      <c r="E755" s="74" t="s">
        <v>789</v>
      </c>
      <c r="F755" s="164"/>
      <c r="G755" s="165">
        <v>679143483</v>
      </c>
      <c r="H755" s="165"/>
    </row>
    <row r="756" spans="1:8" ht="21">
      <c r="A756" s="1">
        <v>753</v>
      </c>
      <c r="B756" s="21" t="s">
        <v>787</v>
      </c>
      <c r="C756" s="1">
        <v>346639</v>
      </c>
      <c r="D756" s="21" t="s">
        <v>34</v>
      </c>
      <c r="E756" s="150" t="s">
        <v>499</v>
      </c>
      <c r="F756" s="164"/>
      <c r="G756" s="165">
        <v>2000000000</v>
      </c>
      <c r="H756" s="165"/>
    </row>
    <row r="757" spans="1:8" ht="75">
      <c r="A757" s="1">
        <v>754</v>
      </c>
      <c r="B757" s="21" t="s">
        <v>787</v>
      </c>
      <c r="C757" s="1">
        <v>346640</v>
      </c>
      <c r="D757" s="21" t="s">
        <v>34</v>
      </c>
      <c r="E757" s="74" t="s">
        <v>526</v>
      </c>
      <c r="G757" s="20">
        <v>50000000</v>
      </c>
    </row>
    <row r="758" spans="1:8" ht="37.5">
      <c r="A758" s="1">
        <v>755</v>
      </c>
      <c r="B758" s="21" t="s">
        <v>787</v>
      </c>
      <c r="C758" s="1">
        <v>346641</v>
      </c>
      <c r="D758" s="21" t="s">
        <v>34</v>
      </c>
      <c r="E758" s="74" t="s">
        <v>790</v>
      </c>
      <c r="F758" s="164"/>
      <c r="G758" s="165">
        <v>262690000</v>
      </c>
      <c r="H758" s="165"/>
    </row>
    <row r="759" spans="1:8" ht="37.5">
      <c r="A759" s="1">
        <v>756</v>
      </c>
      <c r="B759" s="21" t="s">
        <v>791</v>
      </c>
      <c r="C759" s="1">
        <v>346642</v>
      </c>
      <c r="D759" s="21" t="s">
        <v>34</v>
      </c>
      <c r="E759" s="74" t="s">
        <v>792</v>
      </c>
      <c r="G759" s="20">
        <v>1086498140</v>
      </c>
    </row>
    <row r="760" spans="1:8" ht="37.5">
      <c r="A760" s="1">
        <v>757</v>
      </c>
      <c r="B760" s="21" t="s">
        <v>791</v>
      </c>
      <c r="C760" s="1">
        <v>346643</v>
      </c>
      <c r="D760" s="21" t="s">
        <v>34</v>
      </c>
      <c r="E760" s="74" t="s">
        <v>793</v>
      </c>
      <c r="G760" s="20">
        <v>5000000000</v>
      </c>
    </row>
    <row r="761" spans="1:8" ht="56.25">
      <c r="A761" s="1">
        <v>758</v>
      </c>
      <c r="B761" s="21" t="s">
        <v>791</v>
      </c>
      <c r="C761" s="1">
        <v>346644</v>
      </c>
      <c r="D761" s="21" t="s">
        <v>34</v>
      </c>
      <c r="E761" s="74" t="s">
        <v>794</v>
      </c>
      <c r="G761" s="20">
        <v>4615051840</v>
      </c>
    </row>
    <row r="762" spans="1:8" ht="37.5">
      <c r="A762" s="1">
        <v>759</v>
      </c>
      <c r="B762" s="21" t="s">
        <v>795</v>
      </c>
      <c r="C762" s="1">
        <v>346645</v>
      </c>
      <c r="D762" s="21" t="s">
        <v>34</v>
      </c>
      <c r="E762" s="74" t="s">
        <v>796</v>
      </c>
      <c r="G762" s="20">
        <v>43552000</v>
      </c>
    </row>
    <row r="763" spans="1:8" ht="75">
      <c r="A763" s="1">
        <v>760</v>
      </c>
      <c r="B763" s="21" t="s">
        <v>795</v>
      </c>
      <c r="C763" s="1">
        <v>346646</v>
      </c>
      <c r="D763" s="21" t="s">
        <v>34</v>
      </c>
      <c r="E763" s="74" t="s">
        <v>797</v>
      </c>
      <c r="G763" s="20">
        <v>100000000</v>
      </c>
    </row>
    <row r="764" spans="1:8" ht="37.5">
      <c r="A764" s="1">
        <v>761</v>
      </c>
      <c r="B764" s="21" t="s">
        <v>798</v>
      </c>
      <c r="C764" s="1">
        <v>346647</v>
      </c>
      <c r="D764" s="21" t="s">
        <v>34</v>
      </c>
      <c r="E764" s="74" t="s">
        <v>799</v>
      </c>
      <c r="G764" s="20">
        <v>920640000</v>
      </c>
    </row>
    <row r="765" spans="1:8" ht="56.25">
      <c r="A765" s="1">
        <v>762</v>
      </c>
      <c r="B765" s="21" t="s">
        <v>798</v>
      </c>
      <c r="C765" s="1">
        <v>346648</v>
      </c>
      <c r="D765" s="21" t="s">
        <v>34</v>
      </c>
      <c r="E765" s="74" t="s">
        <v>802</v>
      </c>
      <c r="G765" s="20">
        <v>1278580000</v>
      </c>
    </row>
    <row r="766" spans="1:8" ht="56.25">
      <c r="A766" s="1">
        <v>763</v>
      </c>
      <c r="B766" s="21" t="s">
        <v>798</v>
      </c>
      <c r="C766" s="1">
        <v>346649</v>
      </c>
      <c r="D766" s="21" t="s">
        <v>34</v>
      </c>
      <c r="E766" s="74" t="s">
        <v>801</v>
      </c>
      <c r="G766" s="20">
        <v>16236000</v>
      </c>
    </row>
    <row r="767" spans="1:8" ht="37.5">
      <c r="A767" s="1">
        <v>764</v>
      </c>
      <c r="B767" s="21" t="s">
        <v>798</v>
      </c>
      <c r="C767" s="1">
        <v>346650</v>
      </c>
      <c r="D767" s="21" t="s">
        <v>34</v>
      </c>
      <c r="E767" s="74" t="s">
        <v>800</v>
      </c>
      <c r="G767" s="20">
        <v>1073900700</v>
      </c>
    </row>
    <row r="768" spans="1:8" ht="37.5">
      <c r="A768" s="1">
        <v>765</v>
      </c>
      <c r="B768" s="21" t="s">
        <v>798</v>
      </c>
      <c r="C768" s="1">
        <v>627751</v>
      </c>
      <c r="D768" s="21" t="s">
        <v>34</v>
      </c>
      <c r="E768" s="74" t="s">
        <v>793</v>
      </c>
      <c r="G768" s="20">
        <v>5000000000</v>
      </c>
    </row>
    <row r="769" spans="1:7" ht="37.5">
      <c r="A769" s="1">
        <v>766</v>
      </c>
      <c r="B769" s="21" t="s">
        <v>798</v>
      </c>
      <c r="C769" s="1">
        <v>627752</v>
      </c>
      <c r="D769" s="21" t="s">
        <v>34</v>
      </c>
      <c r="E769" s="74" t="s">
        <v>803</v>
      </c>
      <c r="G769" s="20">
        <v>37322000</v>
      </c>
    </row>
    <row r="770" spans="1:7" ht="37.5">
      <c r="A770" s="1">
        <v>767</v>
      </c>
      <c r="B770" s="21" t="s">
        <v>804</v>
      </c>
      <c r="C770" s="1">
        <v>627753</v>
      </c>
      <c r="D770" s="21" t="s">
        <v>34</v>
      </c>
      <c r="E770" s="74" t="s">
        <v>805</v>
      </c>
      <c r="G770" s="20">
        <v>37792930</v>
      </c>
    </row>
    <row r="771" spans="1:7" ht="37.5">
      <c r="A771" s="1">
        <v>768</v>
      </c>
      <c r="B771" s="21" t="s">
        <v>804</v>
      </c>
      <c r="C771" s="1">
        <v>627754</v>
      </c>
      <c r="D771" s="21" t="s">
        <v>34</v>
      </c>
      <c r="E771" s="74" t="s">
        <v>806</v>
      </c>
      <c r="G771" s="20">
        <v>362207070</v>
      </c>
    </row>
    <row r="772" spans="1:7" ht="37.5">
      <c r="A772" s="1">
        <v>769</v>
      </c>
      <c r="B772" s="21" t="s">
        <v>807</v>
      </c>
      <c r="C772" s="1">
        <v>627755</v>
      </c>
      <c r="D772" s="21" t="s">
        <v>34</v>
      </c>
      <c r="E772" s="74" t="s">
        <v>808</v>
      </c>
      <c r="G772" s="20">
        <v>56950600</v>
      </c>
    </row>
    <row r="773" spans="1:7" ht="75">
      <c r="A773" s="1">
        <v>770</v>
      </c>
      <c r="B773" s="21" t="s">
        <v>809</v>
      </c>
      <c r="C773" s="1">
        <v>627756</v>
      </c>
      <c r="D773" s="21" t="s">
        <v>34</v>
      </c>
      <c r="E773" s="74" t="s">
        <v>810</v>
      </c>
      <c r="G773" s="20">
        <v>318000000</v>
      </c>
    </row>
    <row r="774" spans="1:7" ht="56.25">
      <c r="A774" s="1">
        <v>771</v>
      </c>
      <c r="B774" s="21" t="s">
        <v>811</v>
      </c>
      <c r="C774" s="1">
        <v>627757</v>
      </c>
      <c r="D774" s="21" t="s">
        <v>34</v>
      </c>
      <c r="E774" s="74" t="s">
        <v>812</v>
      </c>
      <c r="G774" s="20">
        <v>2500000000</v>
      </c>
    </row>
    <row r="775" spans="1:7" ht="75">
      <c r="A775" s="1">
        <v>772</v>
      </c>
      <c r="B775" s="21" t="s">
        <v>811</v>
      </c>
      <c r="C775" s="1">
        <v>627758</v>
      </c>
      <c r="D775" s="21" t="s">
        <v>34</v>
      </c>
      <c r="E775" s="74" t="s">
        <v>526</v>
      </c>
      <c r="G775" s="20">
        <v>50000000</v>
      </c>
    </row>
    <row r="776" spans="1:7" ht="56.25">
      <c r="A776" s="1">
        <v>773</v>
      </c>
      <c r="B776" s="21" t="s">
        <v>813</v>
      </c>
      <c r="C776" s="1">
        <v>627759</v>
      </c>
      <c r="D776" s="21" t="s">
        <v>34</v>
      </c>
      <c r="E776" s="74" t="s">
        <v>814</v>
      </c>
      <c r="G776" s="20">
        <v>184332974</v>
      </c>
    </row>
    <row r="777" spans="1:7" ht="93.75">
      <c r="A777" s="1">
        <v>774</v>
      </c>
      <c r="B777" s="21" t="s">
        <v>813</v>
      </c>
      <c r="C777" s="1">
        <v>627760</v>
      </c>
      <c r="D777" s="21" t="s">
        <v>34</v>
      </c>
      <c r="E777" s="74" t="s">
        <v>815</v>
      </c>
      <c r="G777" s="20">
        <v>32567113</v>
      </c>
    </row>
    <row r="778" spans="1:7" ht="75">
      <c r="A778" s="1">
        <v>775</v>
      </c>
      <c r="B778" s="21" t="s">
        <v>813</v>
      </c>
      <c r="C778" s="1">
        <v>627761</v>
      </c>
      <c r="D778" s="21" t="s">
        <v>34</v>
      </c>
      <c r="E778" s="74" t="s">
        <v>816</v>
      </c>
      <c r="G778" s="20">
        <v>32748945</v>
      </c>
    </row>
    <row r="779" spans="1:7" ht="75">
      <c r="A779" s="1">
        <v>776</v>
      </c>
      <c r="B779" s="21" t="s">
        <v>813</v>
      </c>
      <c r="C779" s="1">
        <v>627762</v>
      </c>
      <c r="D779" s="21" t="s">
        <v>34</v>
      </c>
      <c r="E779" s="74" t="s">
        <v>817</v>
      </c>
      <c r="G779" s="20">
        <v>26753806</v>
      </c>
    </row>
    <row r="780" spans="1:7" ht="37.5">
      <c r="A780" s="1">
        <v>777</v>
      </c>
      <c r="B780" s="21" t="s">
        <v>818</v>
      </c>
      <c r="C780" s="1">
        <v>627763</v>
      </c>
      <c r="D780" s="21" t="s">
        <v>34</v>
      </c>
      <c r="E780" s="74" t="s">
        <v>819</v>
      </c>
      <c r="G780" s="20">
        <v>28792000</v>
      </c>
    </row>
    <row r="781" spans="1:7" ht="37.5">
      <c r="A781" s="1">
        <v>778</v>
      </c>
      <c r="B781" s="21" t="s">
        <v>820</v>
      </c>
      <c r="C781" s="1">
        <v>627764</v>
      </c>
      <c r="D781" s="21" t="s">
        <v>34</v>
      </c>
      <c r="E781" s="74" t="s">
        <v>821</v>
      </c>
      <c r="G781" s="20">
        <v>516748500</v>
      </c>
    </row>
    <row r="782" spans="1:7" ht="37.5">
      <c r="A782" s="1">
        <v>779</v>
      </c>
      <c r="B782" s="21" t="s">
        <v>820</v>
      </c>
      <c r="C782" s="1">
        <v>627765</v>
      </c>
      <c r="D782" s="21" t="s">
        <v>34</v>
      </c>
      <c r="E782" s="74" t="s">
        <v>822</v>
      </c>
      <c r="G782" s="20">
        <v>882155400</v>
      </c>
    </row>
    <row r="783" spans="1:7" ht="37.5">
      <c r="A783" s="1">
        <v>780</v>
      </c>
      <c r="B783" s="21" t="s">
        <v>820</v>
      </c>
      <c r="C783" s="1">
        <v>627766</v>
      </c>
      <c r="D783" s="21" t="s">
        <v>34</v>
      </c>
      <c r="E783" s="74" t="s">
        <v>823</v>
      </c>
      <c r="G783" s="20">
        <v>452025750</v>
      </c>
    </row>
    <row r="784" spans="1:7" ht="37.5">
      <c r="A784" s="1">
        <v>781</v>
      </c>
      <c r="B784" s="21" t="s">
        <v>820</v>
      </c>
      <c r="C784" s="1">
        <v>627767</v>
      </c>
      <c r="D784" s="21" t="s">
        <v>34</v>
      </c>
      <c r="E784" s="74" t="s">
        <v>824</v>
      </c>
      <c r="G784" s="20">
        <v>32900000</v>
      </c>
    </row>
    <row r="785" spans="1:7" ht="37.5">
      <c r="A785" s="1">
        <v>782</v>
      </c>
      <c r="B785" s="21" t="s">
        <v>662</v>
      </c>
      <c r="C785" s="1">
        <v>627768</v>
      </c>
      <c r="D785" s="21" t="s">
        <v>34</v>
      </c>
      <c r="E785" s="74" t="s">
        <v>793</v>
      </c>
      <c r="G785" s="20">
        <v>10000000000</v>
      </c>
    </row>
    <row r="786" spans="1:7" ht="75">
      <c r="A786" s="1">
        <v>783</v>
      </c>
      <c r="B786" s="21" t="s">
        <v>825</v>
      </c>
      <c r="C786" s="1">
        <v>627769</v>
      </c>
      <c r="D786" s="21" t="s">
        <v>34</v>
      </c>
      <c r="E786" s="74" t="s">
        <v>526</v>
      </c>
      <c r="G786" s="20">
        <v>50000000</v>
      </c>
    </row>
    <row r="787" spans="1:7" ht="37.5">
      <c r="A787" s="1">
        <v>784</v>
      </c>
      <c r="B787" s="21" t="s">
        <v>825</v>
      </c>
      <c r="C787" s="1">
        <v>627770</v>
      </c>
      <c r="D787" s="21" t="s">
        <v>34</v>
      </c>
      <c r="E787" s="74" t="s">
        <v>826</v>
      </c>
      <c r="G787" s="20">
        <v>4099986000</v>
      </c>
    </row>
    <row r="788" spans="1:7" ht="56.25">
      <c r="A788" s="1">
        <v>785</v>
      </c>
      <c r="B788" s="21" t="s">
        <v>825</v>
      </c>
      <c r="C788" s="1">
        <v>627771</v>
      </c>
      <c r="D788" s="21" t="s">
        <v>34</v>
      </c>
      <c r="E788" s="74" t="s">
        <v>827</v>
      </c>
      <c r="G788" s="20">
        <v>11224863200</v>
      </c>
    </row>
    <row r="789" spans="1:7" ht="37.5">
      <c r="A789" s="1">
        <v>786</v>
      </c>
      <c r="B789" s="21" t="s">
        <v>828</v>
      </c>
      <c r="C789" s="1">
        <v>627772</v>
      </c>
      <c r="D789" s="21" t="s">
        <v>34</v>
      </c>
      <c r="E789" s="74" t="s">
        <v>793</v>
      </c>
      <c r="G789" s="20">
        <v>10000000000</v>
      </c>
    </row>
    <row r="790" spans="1:7" ht="37.5">
      <c r="A790" s="1">
        <v>787</v>
      </c>
      <c r="B790" s="21" t="s">
        <v>831</v>
      </c>
      <c r="C790" s="1">
        <v>627773</v>
      </c>
      <c r="D790" s="21" t="s">
        <v>34</v>
      </c>
      <c r="E790" s="74" t="s">
        <v>829</v>
      </c>
      <c r="G790" s="20">
        <v>2077535061</v>
      </c>
    </row>
    <row r="791" spans="1:7" ht="21">
      <c r="A791" s="1">
        <v>788</v>
      </c>
      <c r="B791" s="21" t="s">
        <v>831</v>
      </c>
      <c r="C791" s="1">
        <v>627774</v>
      </c>
      <c r="D791" s="21" t="s">
        <v>34</v>
      </c>
      <c r="E791" s="74" t="s">
        <v>830</v>
      </c>
      <c r="G791" s="20">
        <v>693552568</v>
      </c>
    </row>
    <row r="792" spans="1:7" ht="21">
      <c r="A792" s="1">
        <v>789</v>
      </c>
      <c r="B792" s="21" t="s">
        <v>831</v>
      </c>
      <c r="C792" s="1">
        <v>627775</v>
      </c>
      <c r="D792" s="21" t="s">
        <v>34</v>
      </c>
      <c r="E792" s="151" t="s">
        <v>499</v>
      </c>
      <c r="G792" s="20">
        <v>2000000000</v>
      </c>
    </row>
    <row r="793" spans="1:7" ht="75">
      <c r="A793" s="1">
        <v>790</v>
      </c>
      <c r="B793" s="21" t="s">
        <v>832</v>
      </c>
      <c r="C793" s="1">
        <v>627776</v>
      </c>
      <c r="D793" s="21" t="s">
        <v>34</v>
      </c>
      <c r="E793" s="74" t="s">
        <v>833</v>
      </c>
      <c r="G793" s="20">
        <v>33000000</v>
      </c>
    </row>
    <row r="794" spans="1:7" ht="56.25">
      <c r="A794" s="1">
        <v>791</v>
      </c>
      <c r="B794" s="21" t="s">
        <v>832</v>
      </c>
      <c r="C794" s="1">
        <v>627777</v>
      </c>
      <c r="D794" s="21" t="s">
        <v>34</v>
      </c>
      <c r="E794" s="74" t="s">
        <v>834</v>
      </c>
      <c r="G794" s="20">
        <v>22038465</v>
      </c>
    </row>
    <row r="795" spans="1:7" ht="56.25">
      <c r="A795" s="1">
        <v>792</v>
      </c>
      <c r="B795" s="21" t="s">
        <v>832</v>
      </c>
      <c r="C795" s="1">
        <v>627778</v>
      </c>
      <c r="D795" s="21" t="s">
        <v>34</v>
      </c>
      <c r="E795" s="74" t="s">
        <v>835</v>
      </c>
      <c r="G795" s="20">
        <v>16944000</v>
      </c>
    </row>
    <row r="796" spans="1:7" ht="75">
      <c r="A796" s="1">
        <v>793</v>
      </c>
      <c r="B796" s="21" t="s">
        <v>832</v>
      </c>
      <c r="C796" s="1">
        <v>627779</v>
      </c>
      <c r="D796" s="21" t="s">
        <v>34</v>
      </c>
      <c r="E796" s="74" t="s">
        <v>526</v>
      </c>
      <c r="G796" s="20">
        <v>50000000</v>
      </c>
    </row>
    <row r="797" spans="1:7" ht="37.5">
      <c r="A797" s="1">
        <v>794</v>
      </c>
      <c r="B797" s="21" t="s">
        <v>836</v>
      </c>
      <c r="C797" s="1">
        <v>627780</v>
      </c>
      <c r="D797" s="21" t="s">
        <v>34</v>
      </c>
      <c r="E797" s="74" t="s">
        <v>837</v>
      </c>
      <c r="G797" s="20">
        <v>654483759</v>
      </c>
    </row>
    <row r="798" spans="1:7" ht="37.5">
      <c r="A798" s="1">
        <v>795</v>
      </c>
      <c r="B798" s="21" t="s">
        <v>838</v>
      </c>
      <c r="C798" s="1">
        <v>627781</v>
      </c>
      <c r="D798" s="21" t="s">
        <v>34</v>
      </c>
      <c r="E798" s="74" t="s">
        <v>839</v>
      </c>
      <c r="G798" s="20">
        <v>31771000</v>
      </c>
    </row>
    <row r="799" spans="1:7" ht="37.5">
      <c r="A799" s="1">
        <v>796</v>
      </c>
      <c r="B799" s="21" t="s">
        <v>838</v>
      </c>
      <c r="C799" s="1">
        <v>627782</v>
      </c>
      <c r="D799" s="21" t="s">
        <v>34</v>
      </c>
      <c r="E799" s="74" t="s">
        <v>840</v>
      </c>
      <c r="G799" s="20">
        <v>1473117560</v>
      </c>
    </row>
    <row r="800" spans="1:7" ht="56.25">
      <c r="A800" s="1">
        <v>797</v>
      </c>
      <c r="B800" s="21" t="s">
        <v>841</v>
      </c>
      <c r="C800" s="1">
        <v>627783</v>
      </c>
      <c r="D800" s="21" t="s">
        <v>34</v>
      </c>
      <c r="E800" s="74" t="s">
        <v>842</v>
      </c>
      <c r="G800" s="20">
        <v>51501675</v>
      </c>
    </row>
    <row r="801" spans="1:8" ht="37.5">
      <c r="A801" s="1">
        <v>798</v>
      </c>
      <c r="B801" s="21" t="s">
        <v>841</v>
      </c>
      <c r="C801" s="1">
        <v>627784</v>
      </c>
      <c r="D801" s="21" t="s">
        <v>34</v>
      </c>
      <c r="E801" s="74" t="s">
        <v>843</v>
      </c>
      <c r="G801" s="20">
        <v>2646050000</v>
      </c>
    </row>
    <row r="802" spans="1:8" ht="37.5">
      <c r="A802" s="1">
        <v>799</v>
      </c>
      <c r="B802" s="21" t="s">
        <v>841</v>
      </c>
      <c r="C802" s="1">
        <v>627785</v>
      </c>
      <c r="D802" s="21" t="s">
        <v>34</v>
      </c>
      <c r="E802" s="74" t="s">
        <v>844</v>
      </c>
      <c r="G802" s="20">
        <v>33467835</v>
      </c>
    </row>
    <row r="803" spans="1:8" ht="56.25">
      <c r="A803" s="1">
        <v>800</v>
      </c>
      <c r="B803" s="21" t="s">
        <v>841</v>
      </c>
      <c r="C803" s="1">
        <v>627786</v>
      </c>
      <c r="D803" s="21" t="s">
        <v>34</v>
      </c>
      <c r="E803" s="74" t="s">
        <v>845</v>
      </c>
      <c r="G803" s="20">
        <v>83767497</v>
      </c>
    </row>
    <row r="804" spans="1:8" ht="56.25">
      <c r="A804" s="1">
        <v>801</v>
      </c>
      <c r="B804" s="21" t="s">
        <v>841</v>
      </c>
      <c r="C804" s="1">
        <v>627787</v>
      </c>
      <c r="D804" s="21" t="s">
        <v>34</v>
      </c>
      <c r="E804" s="74" t="s">
        <v>846</v>
      </c>
      <c r="G804" s="20">
        <v>59043267</v>
      </c>
    </row>
    <row r="805" spans="1:8" ht="56.25">
      <c r="A805" s="1">
        <v>802</v>
      </c>
      <c r="B805" s="21" t="s">
        <v>841</v>
      </c>
      <c r="C805" s="1">
        <v>627788</v>
      </c>
      <c r="D805" s="21" t="s">
        <v>34</v>
      </c>
      <c r="E805" s="74" t="s">
        <v>847</v>
      </c>
      <c r="G805" s="20">
        <v>117810368</v>
      </c>
    </row>
    <row r="806" spans="1:8" ht="37.5">
      <c r="A806" s="1">
        <v>803</v>
      </c>
      <c r="B806" s="21" t="s">
        <v>841</v>
      </c>
      <c r="C806" s="1">
        <v>627789</v>
      </c>
      <c r="D806" s="21" t="s">
        <v>34</v>
      </c>
      <c r="E806" s="74" t="s">
        <v>848</v>
      </c>
      <c r="G806" s="20">
        <v>5406369900</v>
      </c>
    </row>
    <row r="807" spans="1:8" ht="37.5">
      <c r="A807" s="1">
        <v>804</v>
      </c>
      <c r="B807" s="21" t="s">
        <v>849</v>
      </c>
      <c r="C807" s="1">
        <v>627790</v>
      </c>
      <c r="D807" s="21" t="s">
        <v>34</v>
      </c>
      <c r="E807" s="74" t="s">
        <v>793</v>
      </c>
      <c r="G807" s="20">
        <v>5000000000</v>
      </c>
    </row>
    <row r="808" spans="1:8" ht="75">
      <c r="A808" s="1">
        <v>805</v>
      </c>
      <c r="B808" s="21" t="s">
        <v>849</v>
      </c>
      <c r="C808" s="1">
        <v>627791</v>
      </c>
      <c r="D808" s="21" t="s">
        <v>34</v>
      </c>
      <c r="E808" s="74" t="s">
        <v>526</v>
      </c>
      <c r="G808" s="20">
        <v>50000000</v>
      </c>
    </row>
    <row r="809" spans="1:8" ht="37.5">
      <c r="A809" s="1">
        <v>806</v>
      </c>
      <c r="B809" s="21" t="s">
        <v>849</v>
      </c>
      <c r="C809" s="1">
        <v>627792</v>
      </c>
      <c r="D809" s="21" t="s">
        <v>34</v>
      </c>
      <c r="E809" s="74" t="s">
        <v>850</v>
      </c>
      <c r="G809" s="20">
        <v>11772000</v>
      </c>
    </row>
    <row r="810" spans="1:8" ht="56.25">
      <c r="A810" s="1">
        <v>807</v>
      </c>
      <c r="B810" s="21" t="s">
        <v>851</v>
      </c>
      <c r="C810" s="169">
        <v>627793</v>
      </c>
      <c r="D810" s="21" t="s">
        <v>34</v>
      </c>
      <c r="E810" s="74" t="s">
        <v>852</v>
      </c>
      <c r="F810" s="170"/>
      <c r="G810" s="171">
        <v>807011520</v>
      </c>
      <c r="H810" s="171"/>
    </row>
    <row r="811" spans="1:8" ht="37.5">
      <c r="A811" s="1">
        <v>808</v>
      </c>
      <c r="B811" s="21" t="s">
        <v>851</v>
      </c>
      <c r="C811" s="169">
        <v>627794</v>
      </c>
      <c r="D811" s="21" t="s">
        <v>34</v>
      </c>
      <c r="E811" s="74" t="s">
        <v>853</v>
      </c>
      <c r="F811" s="170"/>
      <c r="G811" s="171">
        <v>156000000</v>
      </c>
      <c r="H811" s="171"/>
    </row>
    <row r="812" spans="1:8" ht="37.5">
      <c r="A812" s="1">
        <v>809</v>
      </c>
      <c r="B812" s="21" t="s">
        <v>854</v>
      </c>
      <c r="C812" s="169">
        <v>627795</v>
      </c>
      <c r="D812" s="21" t="s">
        <v>34</v>
      </c>
      <c r="E812" s="74" t="s">
        <v>855</v>
      </c>
      <c r="F812" s="170"/>
      <c r="G812" s="171">
        <v>208462500</v>
      </c>
      <c r="H812" s="171"/>
    </row>
    <row r="813" spans="1:8" ht="37.5">
      <c r="A813" s="1">
        <v>810</v>
      </c>
      <c r="B813" s="21" t="s">
        <v>854</v>
      </c>
      <c r="C813" s="169">
        <v>627796</v>
      </c>
      <c r="D813" s="21" t="s">
        <v>34</v>
      </c>
      <c r="E813" s="74" t="s">
        <v>856</v>
      </c>
      <c r="F813" s="170"/>
      <c r="G813" s="171">
        <v>71250000</v>
      </c>
      <c r="H813" s="171"/>
    </row>
    <row r="814" spans="1:8" ht="37.5">
      <c r="A814" s="1">
        <v>811</v>
      </c>
      <c r="B814" s="21" t="s">
        <v>857</v>
      </c>
      <c r="C814" s="1">
        <v>627797</v>
      </c>
      <c r="D814" s="21" t="s">
        <v>34</v>
      </c>
      <c r="E814" s="74" t="s">
        <v>858</v>
      </c>
      <c r="G814" s="20">
        <v>18639000</v>
      </c>
    </row>
    <row r="815" spans="1:8" ht="75">
      <c r="A815" s="1">
        <v>812</v>
      </c>
      <c r="B815" s="21" t="s">
        <v>857</v>
      </c>
      <c r="C815" s="1">
        <v>627798</v>
      </c>
      <c r="D815" s="21" t="s">
        <v>34</v>
      </c>
      <c r="E815" s="74" t="s">
        <v>859</v>
      </c>
      <c r="G815" s="20">
        <v>20000000</v>
      </c>
    </row>
    <row r="816" spans="1:8" ht="37.5">
      <c r="A816" s="1">
        <v>813</v>
      </c>
      <c r="B816" s="21" t="s">
        <v>857</v>
      </c>
      <c r="C816" s="1">
        <v>627799</v>
      </c>
      <c r="D816" s="21" t="s">
        <v>34</v>
      </c>
      <c r="E816" s="74" t="s">
        <v>793</v>
      </c>
      <c r="G816" s="20">
        <v>5000000000</v>
      </c>
    </row>
    <row r="817" spans="1:8" ht="37.5">
      <c r="A817" s="1">
        <v>814</v>
      </c>
      <c r="B817" s="21" t="s">
        <v>857</v>
      </c>
      <c r="C817" s="1">
        <v>627800</v>
      </c>
      <c r="D817" s="21" t="s">
        <v>34</v>
      </c>
      <c r="E817" s="74" t="s">
        <v>757</v>
      </c>
      <c r="G817" s="20">
        <v>10000000000</v>
      </c>
    </row>
    <row r="818" spans="1:8" ht="37.5">
      <c r="A818" s="1">
        <v>815</v>
      </c>
      <c r="B818" s="21" t="s">
        <v>860</v>
      </c>
      <c r="C818" s="1">
        <v>972101</v>
      </c>
      <c r="D818" s="21" t="s">
        <v>34</v>
      </c>
      <c r="E818" s="74" t="s">
        <v>861</v>
      </c>
      <c r="G818" s="20">
        <v>163762000</v>
      </c>
    </row>
    <row r="819" spans="1:8" ht="56.25">
      <c r="A819" s="1">
        <v>816</v>
      </c>
      <c r="B819" s="21" t="s">
        <v>860</v>
      </c>
      <c r="C819" s="1">
        <v>972102</v>
      </c>
      <c r="D819" s="21" t="s">
        <v>34</v>
      </c>
      <c r="E819" s="74" t="s">
        <v>866</v>
      </c>
      <c r="G819" s="20">
        <v>31200000</v>
      </c>
    </row>
    <row r="820" spans="1:8" ht="37.5">
      <c r="A820" s="1">
        <v>817</v>
      </c>
      <c r="B820" s="21" t="s">
        <v>860</v>
      </c>
      <c r="C820" s="166">
        <v>972103</v>
      </c>
      <c r="D820" s="21" t="s">
        <v>34</v>
      </c>
      <c r="E820" s="74" t="s">
        <v>862</v>
      </c>
      <c r="F820" s="167"/>
      <c r="G820" s="168">
        <v>12143550</v>
      </c>
      <c r="H820" s="168"/>
    </row>
    <row r="821" spans="1:8" ht="37.5">
      <c r="A821" s="1">
        <v>818</v>
      </c>
      <c r="B821" s="21" t="s">
        <v>863</v>
      </c>
      <c r="C821" s="166">
        <v>972104</v>
      </c>
      <c r="D821" s="21" t="s">
        <v>34</v>
      </c>
      <c r="E821" s="74" t="s">
        <v>864</v>
      </c>
      <c r="F821" s="167"/>
      <c r="G821" s="168">
        <v>1000000000</v>
      </c>
      <c r="H821" s="168"/>
    </row>
    <row r="822" spans="1:8" ht="21">
      <c r="A822" s="1">
        <v>819</v>
      </c>
      <c r="B822" s="21" t="s">
        <v>863</v>
      </c>
      <c r="C822" s="166">
        <v>972105</v>
      </c>
      <c r="D822" s="21" t="s">
        <v>34</v>
      </c>
      <c r="E822" s="19" t="s">
        <v>938</v>
      </c>
      <c r="F822" s="167"/>
      <c r="G822" s="168">
        <v>11404200</v>
      </c>
      <c r="H822" s="168"/>
    </row>
    <row r="823" spans="1:8" ht="21">
      <c r="A823" s="1">
        <v>820</v>
      </c>
      <c r="B823" s="21" t="s">
        <v>863</v>
      </c>
      <c r="C823" s="166">
        <v>972106</v>
      </c>
      <c r="D823" s="21" t="s">
        <v>34</v>
      </c>
      <c r="E823" s="74" t="s">
        <v>626</v>
      </c>
      <c r="F823" s="167"/>
      <c r="G823" s="168"/>
      <c r="H823" s="168"/>
    </row>
    <row r="824" spans="1:8" ht="37.5">
      <c r="A824" s="1">
        <v>821</v>
      </c>
      <c r="B824" s="21" t="s">
        <v>863</v>
      </c>
      <c r="C824" s="166">
        <v>972107</v>
      </c>
      <c r="D824" s="21" t="s">
        <v>34</v>
      </c>
      <c r="E824" s="74" t="s">
        <v>865</v>
      </c>
      <c r="F824" s="167"/>
      <c r="G824" s="168">
        <v>5682223920</v>
      </c>
      <c r="H824" s="168"/>
    </row>
    <row r="825" spans="1:8" ht="75">
      <c r="A825" s="1">
        <v>822</v>
      </c>
      <c r="B825" s="21" t="s">
        <v>868</v>
      </c>
      <c r="C825" s="166">
        <v>972108</v>
      </c>
      <c r="D825" s="21" t="s">
        <v>34</v>
      </c>
      <c r="E825" s="74" t="s">
        <v>526</v>
      </c>
      <c r="F825" s="173"/>
      <c r="G825" s="174">
        <v>50000000</v>
      </c>
      <c r="H825" s="174"/>
    </row>
    <row r="826" spans="1:8" ht="37.5">
      <c r="A826" s="1">
        <v>823</v>
      </c>
      <c r="B826" s="21" t="s">
        <v>663</v>
      </c>
      <c r="C826" s="166">
        <v>972109</v>
      </c>
      <c r="D826" s="21" t="s">
        <v>34</v>
      </c>
      <c r="E826" s="74" t="s">
        <v>867</v>
      </c>
      <c r="F826" s="173"/>
      <c r="G826" s="174">
        <v>3052000</v>
      </c>
      <c r="H826" s="174"/>
    </row>
    <row r="827" spans="1:8" ht="37.5">
      <c r="A827" s="1">
        <v>824</v>
      </c>
      <c r="B827" s="21" t="s">
        <v>869</v>
      </c>
      <c r="C827" s="172">
        <v>972110</v>
      </c>
      <c r="D827" s="21" t="s">
        <v>34</v>
      </c>
      <c r="E827" s="74" t="s">
        <v>870</v>
      </c>
      <c r="F827" s="173"/>
      <c r="G827" s="174">
        <v>3010494000</v>
      </c>
      <c r="H827" s="174"/>
    </row>
    <row r="828" spans="1:8" ht="37.5">
      <c r="A828" s="1">
        <v>825</v>
      </c>
      <c r="B828" s="21" t="s">
        <v>869</v>
      </c>
      <c r="C828" s="172">
        <v>972111</v>
      </c>
      <c r="D828" s="21" t="s">
        <v>34</v>
      </c>
      <c r="E828" s="74" t="s">
        <v>563</v>
      </c>
      <c r="F828" s="173"/>
      <c r="G828" s="174">
        <v>33750000000</v>
      </c>
      <c r="H828" s="174"/>
    </row>
    <row r="829" spans="1:8" ht="37.5">
      <c r="A829" s="1">
        <v>826</v>
      </c>
      <c r="B829" s="21" t="s">
        <v>872</v>
      </c>
      <c r="C829" s="172">
        <v>972112</v>
      </c>
      <c r="D829" s="21" t="s">
        <v>34</v>
      </c>
      <c r="E829" s="74" t="s">
        <v>871</v>
      </c>
      <c r="G829" s="20">
        <f>19740000+216750000</f>
        <v>236490000</v>
      </c>
    </row>
    <row r="830" spans="1:8" ht="37.5">
      <c r="A830" s="1">
        <v>827</v>
      </c>
      <c r="B830" s="21" t="s">
        <v>872</v>
      </c>
      <c r="C830" s="1">
        <v>972113</v>
      </c>
      <c r="D830" s="21" t="s">
        <v>34</v>
      </c>
      <c r="E830" s="74" t="s">
        <v>793</v>
      </c>
      <c r="G830" s="20">
        <v>15000000000</v>
      </c>
    </row>
    <row r="831" spans="1:8" ht="75">
      <c r="A831" s="1">
        <v>828</v>
      </c>
      <c r="B831" s="21" t="s">
        <v>873</v>
      </c>
      <c r="C831" s="172">
        <v>972114</v>
      </c>
      <c r="D831" s="21" t="s">
        <v>34</v>
      </c>
      <c r="E831" s="74" t="s">
        <v>526</v>
      </c>
      <c r="G831" s="20">
        <v>100000000</v>
      </c>
    </row>
    <row r="832" spans="1:8" ht="37.5">
      <c r="A832" s="1">
        <v>829</v>
      </c>
      <c r="B832" s="21" t="s">
        <v>873</v>
      </c>
      <c r="C832" s="1">
        <v>972115</v>
      </c>
      <c r="D832" s="21" t="s">
        <v>34</v>
      </c>
      <c r="E832" s="74" t="s">
        <v>874</v>
      </c>
      <c r="G832" s="20">
        <f>46806000+45018000</f>
        <v>91824000</v>
      </c>
    </row>
    <row r="833" spans="1:7" ht="37.5">
      <c r="A833" s="1">
        <v>830</v>
      </c>
      <c r="B833" s="21" t="s">
        <v>875</v>
      </c>
      <c r="C833" s="1">
        <v>972116</v>
      </c>
      <c r="D833" s="21" t="s">
        <v>34</v>
      </c>
      <c r="E833" s="74" t="s">
        <v>876</v>
      </c>
      <c r="G833" s="20">
        <v>500000000</v>
      </c>
    </row>
    <row r="834" spans="1:7" ht="21">
      <c r="A834" s="1">
        <v>831</v>
      </c>
      <c r="B834" s="21"/>
      <c r="C834" s="1">
        <v>972117</v>
      </c>
      <c r="D834" s="21"/>
      <c r="E834" s="74"/>
    </row>
    <row r="835" spans="1:7" ht="37.5">
      <c r="A835" s="1">
        <v>832</v>
      </c>
      <c r="B835" s="21" t="s">
        <v>875</v>
      </c>
      <c r="C835" s="1">
        <v>972118</v>
      </c>
      <c r="D835" s="21" t="s">
        <v>34</v>
      </c>
      <c r="E835" s="74" t="s">
        <v>877</v>
      </c>
      <c r="G835" s="20">
        <v>2005501892</v>
      </c>
    </row>
    <row r="836" spans="1:7" ht="37.5">
      <c r="A836" s="1">
        <v>833</v>
      </c>
      <c r="B836" s="21" t="s">
        <v>875</v>
      </c>
      <c r="C836" s="1">
        <v>972119</v>
      </c>
      <c r="D836" s="21" t="s">
        <v>34</v>
      </c>
      <c r="E836" s="74" t="s">
        <v>878</v>
      </c>
      <c r="G836" s="20">
        <v>788156986</v>
      </c>
    </row>
    <row r="837" spans="1:7" ht="21">
      <c r="A837" s="1">
        <v>834</v>
      </c>
      <c r="B837" s="21" t="s">
        <v>875</v>
      </c>
      <c r="C837" s="1">
        <v>972120</v>
      </c>
      <c r="D837" s="21" t="s">
        <v>34</v>
      </c>
      <c r="E837" s="151" t="s">
        <v>499</v>
      </c>
      <c r="G837" s="20">
        <v>2500000000</v>
      </c>
    </row>
    <row r="838" spans="1:7" ht="75">
      <c r="A838" s="1">
        <v>835</v>
      </c>
      <c r="B838" s="21" t="s">
        <v>879</v>
      </c>
      <c r="C838" s="1">
        <v>972121</v>
      </c>
      <c r="D838" s="21" t="s">
        <v>34</v>
      </c>
      <c r="E838" s="74" t="s">
        <v>880</v>
      </c>
      <c r="G838" s="20">
        <v>11015960</v>
      </c>
    </row>
    <row r="839" spans="1:7" ht="37.5">
      <c r="A839" s="1">
        <v>836</v>
      </c>
      <c r="B839" s="21" t="s">
        <v>879</v>
      </c>
      <c r="C839" s="1">
        <v>972122</v>
      </c>
      <c r="D839" s="21" t="s">
        <v>34</v>
      </c>
      <c r="E839" s="74" t="s">
        <v>881</v>
      </c>
      <c r="G839" s="20">
        <v>1340739000</v>
      </c>
    </row>
    <row r="840" spans="1:7" ht="75">
      <c r="A840" s="1">
        <v>837</v>
      </c>
      <c r="B840" s="21" t="s">
        <v>879</v>
      </c>
      <c r="C840" s="1">
        <v>972123</v>
      </c>
      <c r="D840" s="21" t="s">
        <v>34</v>
      </c>
      <c r="E840" s="74" t="s">
        <v>526</v>
      </c>
      <c r="G840" s="20">
        <v>50000000</v>
      </c>
    </row>
    <row r="841" spans="1:7" ht="21">
      <c r="A841" s="1">
        <v>838</v>
      </c>
      <c r="B841" s="21"/>
      <c r="C841" s="1">
        <v>972124</v>
      </c>
      <c r="D841" s="21"/>
      <c r="E841" s="74" t="s">
        <v>626</v>
      </c>
    </row>
    <row r="842" spans="1:7" ht="37.5">
      <c r="A842" s="1">
        <v>839</v>
      </c>
      <c r="B842" s="21" t="s">
        <v>883</v>
      </c>
      <c r="C842" s="1">
        <v>972125</v>
      </c>
      <c r="D842" s="21" t="s">
        <v>34</v>
      </c>
      <c r="E842" s="74" t="s">
        <v>882</v>
      </c>
      <c r="G842" s="20">
        <v>9619064000</v>
      </c>
    </row>
    <row r="843" spans="1:7" ht="75">
      <c r="A843" s="1">
        <v>840</v>
      </c>
      <c r="B843" s="21" t="s">
        <v>884</v>
      </c>
      <c r="C843" s="1">
        <v>972126</v>
      </c>
      <c r="D843" s="21" t="s">
        <v>34</v>
      </c>
      <c r="E843" s="74" t="s">
        <v>885</v>
      </c>
      <c r="G843" s="20">
        <v>97861188</v>
      </c>
    </row>
    <row r="844" spans="1:7" ht="75">
      <c r="A844" s="1">
        <v>841</v>
      </c>
      <c r="B844" s="21" t="s">
        <v>884</v>
      </c>
      <c r="C844" s="1">
        <v>972127</v>
      </c>
      <c r="D844" s="21" t="s">
        <v>34</v>
      </c>
      <c r="E844" s="74" t="s">
        <v>886</v>
      </c>
      <c r="G844" s="20">
        <v>103569247</v>
      </c>
    </row>
    <row r="845" spans="1:7" ht="75">
      <c r="A845" s="1">
        <v>842</v>
      </c>
      <c r="B845" s="21" t="s">
        <v>884</v>
      </c>
      <c r="C845" s="1">
        <v>972128</v>
      </c>
      <c r="D845" s="21" t="s">
        <v>34</v>
      </c>
      <c r="E845" s="74" t="s">
        <v>887</v>
      </c>
      <c r="G845" s="20">
        <v>122251945</v>
      </c>
    </row>
    <row r="846" spans="1:7" ht="56.25">
      <c r="A846" s="1">
        <v>843</v>
      </c>
      <c r="B846" s="21" t="s">
        <v>884</v>
      </c>
      <c r="C846" s="1">
        <v>972129</v>
      </c>
      <c r="D846" s="21" t="s">
        <v>34</v>
      </c>
      <c r="E846" s="175" t="s">
        <v>888</v>
      </c>
      <c r="G846" s="20">
        <v>2781724400</v>
      </c>
    </row>
    <row r="847" spans="1:7" ht="56.25">
      <c r="A847" s="1">
        <v>844</v>
      </c>
      <c r="B847" s="21" t="s">
        <v>884</v>
      </c>
      <c r="C847" s="1">
        <v>972130</v>
      </c>
      <c r="D847" s="21" t="s">
        <v>34</v>
      </c>
      <c r="E847" s="74" t="s">
        <v>889</v>
      </c>
      <c r="G847" s="20">
        <v>7837423160</v>
      </c>
    </row>
    <row r="848" spans="1:7" ht="37.5">
      <c r="A848" s="1">
        <v>845</v>
      </c>
      <c r="B848" s="21" t="s">
        <v>884</v>
      </c>
      <c r="C848" s="1">
        <v>972131</v>
      </c>
      <c r="D848" s="21" t="s">
        <v>34</v>
      </c>
      <c r="E848" s="74" t="s">
        <v>890</v>
      </c>
      <c r="G848" s="20">
        <v>50000000</v>
      </c>
    </row>
    <row r="849" spans="1:8" ht="75">
      <c r="A849" s="1">
        <v>846</v>
      </c>
      <c r="B849" s="21" t="s">
        <v>891</v>
      </c>
      <c r="C849" s="1">
        <v>972132</v>
      </c>
      <c r="D849" s="21" t="s">
        <v>34</v>
      </c>
      <c r="E849" s="74" t="s">
        <v>526</v>
      </c>
      <c r="G849" s="20">
        <v>50000000</v>
      </c>
    </row>
    <row r="850" spans="1:8" ht="37.5">
      <c r="A850" s="1">
        <v>847</v>
      </c>
      <c r="B850" s="21" t="s">
        <v>891</v>
      </c>
      <c r="C850" s="1">
        <v>972133</v>
      </c>
      <c r="D850" s="21" t="s">
        <v>34</v>
      </c>
      <c r="E850" s="74" t="s">
        <v>793</v>
      </c>
      <c r="G850" s="20">
        <v>10000000000</v>
      </c>
    </row>
    <row r="851" spans="1:8" ht="37.5">
      <c r="A851" s="1">
        <v>848</v>
      </c>
      <c r="B851" s="21" t="s">
        <v>893</v>
      </c>
      <c r="C851" s="1">
        <v>972134</v>
      </c>
      <c r="D851" s="21" t="s">
        <v>34</v>
      </c>
      <c r="E851" s="74" t="s">
        <v>892</v>
      </c>
      <c r="G851" s="20">
        <v>11715334000</v>
      </c>
    </row>
    <row r="852" spans="1:8" ht="37.5">
      <c r="A852" s="1">
        <v>849</v>
      </c>
      <c r="B852" s="21" t="s">
        <v>893</v>
      </c>
      <c r="C852" s="1">
        <v>972135</v>
      </c>
      <c r="D852" s="21" t="s">
        <v>34</v>
      </c>
      <c r="E852" s="74" t="s">
        <v>894</v>
      </c>
      <c r="G852" s="20">
        <v>500000000</v>
      </c>
    </row>
    <row r="853" spans="1:8" ht="75">
      <c r="A853" s="1">
        <v>850</v>
      </c>
      <c r="B853" s="21" t="s">
        <v>893</v>
      </c>
      <c r="C853" s="1">
        <v>972136</v>
      </c>
      <c r="D853" s="21" t="s">
        <v>34</v>
      </c>
      <c r="E853" s="74" t="s">
        <v>895</v>
      </c>
      <c r="G853" s="20">
        <v>200000000</v>
      </c>
    </row>
    <row r="854" spans="1:8" ht="37.5">
      <c r="A854" s="1">
        <v>851</v>
      </c>
      <c r="B854" s="21" t="s">
        <v>893</v>
      </c>
      <c r="C854" s="1">
        <v>972137</v>
      </c>
      <c r="D854" s="21" t="s">
        <v>34</v>
      </c>
      <c r="E854" s="74" t="s">
        <v>896</v>
      </c>
      <c r="G854" s="20">
        <f>3469444+1311011+11399600</f>
        <v>16180055</v>
      </c>
    </row>
    <row r="855" spans="1:8" ht="56.25">
      <c r="A855" s="1">
        <v>852</v>
      </c>
      <c r="B855" s="21" t="s">
        <v>897</v>
      </c>
      <c r="C855" s="1">
        <v>972138</v>
      </c>
      <c r="D855" s="21" t="s">
        <v>34</v>
      </c>
      <c r="E855" s="74" t="s">
        <v>898</v>
      </c>
      <c r="G855" s="20">
        <f>176996624+252314737</f>
        <v>429311361</v>
      </c>
    </row>
    <row r="856" spans="1:8" ht="37.5">
      <c r="A856" s="1">
        <v>853</v>
      </c>
      <c r="B856" s="21" t="s">
        <v>897</v>
      </c>
      <c r="C856" s="176">
        <v>972139</v>
      </c>
      <c r="D856" s="21" t="s">
        <v>34</v>
      </c>
      <c r="E856" s="74" t="s">
        <v>793</v>
      </c>
      <c r="F856" s="177"/>
      <c r="G856" s="178">
        <v>5000000000</v>
      </c>
      <c r="H856" s="178"/>
    </row>
    <row r="857" spans="1:8" ht="37.5">
      <c r="A857" s="1">
        <v>854</v>
      </c>
      <c r="B857" s="21" t="s">
        <v>897</v>
      </c>
      <c r="C857" s="176">
        <v>972140</v>
      </c>
      <c r="D857" s="21" t="s">
        <v>34</v>
      </c>
      <c r="E857" s="74" t="s">
        <v>899</v>
      </c>
      <c r="F857" s="177"/>
      <c r="G857" s="178">
        <v>1500000000</v>
      </c>
      <c r="H857" s="178"/>
    </row>
    <row r="858" spans="1:8" ht="75">
      <c r="A858" s="1">
        <v>855</v>
      </c>
      <c r="B858" s="21" t="s">
        <v>897</v>
      </c>
      <c r="C858" s="1">
        <v>972142</v>
      </c>
      <c r="D858" s="21" t="s">
        <v>34</v>
      </c>
      <c r="E858" s="74" t="s">
        <v>526</v>
      </c>
      <c r="G858" s="20">
        <v>100000000</v>
      </c>
    </row>
    <row r="859" spans="1:8" ht="37.5">
      <c r="A859" s="1">
        <v>856</v>
      </c>
      <c r="B859" s="21" t="s">
        <v>900</v>
      </c>
      <c r="C859" s="1">
        <v>972141</v>
      </c>
      <c r="D859" s="21" t="s">
        <v>34</v>
      </c>
      <c r="E859" s="74" t="s">
        <v>901</v>
      </c>
      <c r="G859" s="20">
        <v>800000000</v>
      </c>
    </row>
    <row r="860" spans="1:8" ht="37.5">
      <c r="A860" s="1">
        <v>857</v>
      </c>
      <c r="B860" s="21" t="s">
        <v>902</v>
      </c>
      <c r="C860" s="1">
        <v>972143</v>
      </c>
      <c r="D860" s="21" t="s">
        <v>34</v>
      </c>
      <c r="E860" s="74" t="s">
        <v>903</v>
      </c>
      <c r="G860" s="20">
        <v>1682408000</v>
      </c>
    </row>
    <row r="861" spans="1:8" ht="21">
      <c r="A861" s="1">
        <v>858</v>
      </c>
      <c r="B861" s="21" t="s">
        <v>904</v>
      </c>
      <c r="C861" s="1">
        <v>972144</v>
      </c>
      <c r="D861" s="21" t="s">
        <v>34</v>
      </c>
      <c r="E861" s="74" t="s">
        <v>905</v>
      </c>
      <c r="G861" s="20">
        <v>1579635555</v>
      </c>
    </row>
    <row r="862" spans="1:8" ht="37.5">
      <c r="A862" s="1">
        <v>859</v>
      </c>
      <c r="B862" s="21" t="s">
        <v>907</v>
      </c>
      <c r="C862" s="1">
        <v>972145</v>
      </c>
      <c r="D862" s="21" t="s">
        <v>34</v>
      </c>
      <c r="E862" s="74" t="s">
        <v>906</v>
      </c>
      <c r="G862" s="20">
        <v>5526300</v>
      </c>
    </row>
    <row r="863" spans="1:8" ht="37.5">
      <c r="A863" s="1">
        <v>860</v>
      </c>
      <c r="B863" s="21" t="s">
        <v>907</v>
      </c>
      <c r="C863" s="1">
        <v>972146</v>
      </c>
      <c r="D863" s="21" t="s">
        <v>34</v>
      </c>
      <c r="E863" s="74" t="s">
        <v>908</v>
      </c>
      <c r="G863" s="20">
        <v>11935500</v>
      </c>
    </row>
    <row r="864" spans="1:8" ht="37.5">
      <c r="A864" s="1">
        <v>861</v>
      </c>
      <c r="B864" s="21" t="s">
        <v>907</v>
      </c>
      <c r="C864" s="1">
        <v>972147</v>
      </c>
      <c r="D864" s="21" t="s">
        <v>34</v>
      </c>
      <c r="E864" s="74" t="s">
        <v>909</v>
      </c>
      <c r="G864" s="20">
        <v>23822000</v>
      </c>
    </row>
    <row r="865" spans="1:7" ht="37.5">
      <c r="A865" s="1">
        <v>862</v>
      </c>
      <c r="B865" s="21" t="s">
        <v>907</v>
      </c>
      <c r="C865" s="1">
        <v>972150</v>
      </c>
      <c r="D865" s="21" t="s">
        <v>34</v>
      </c>
      <c r="E865" s="74" t="s">
        <v>910</v>
      </c>
      <c r="G865" s="20">
        <v>425000000</v>
      </c>
    </row>
    <row r="866" spans="1:7" ht="56.25">
      <c r="A866" s="1">
        <v>863</v>
      </c>
      <c r="B866" s="21" t="s">
        <v>907</v>
      </c>
      <c r="C866" s="1">
        <v>972149</v>
      </c>
      <c r="D866" s="21" t="s">
        <v>34</v>
      </c>
      <c r="E866" s="74" t="s">
        <v>911</v>
      </c>
      <c r="G866" s="20">
        <f>755743500+26320000</f>
        <v>782063500</v>
      </c>
    </row>
    <row r="867" spans="1:7" ht="21">
      <c r="A867" s="1">
        <v>864</v>
      </c>
      <c r="B867" s="21"/>
      <c r="C867" s="1">
        <v>972148</v>
      </c>
      <c r="D867" s="21"/>
      <c r="E867" s="74" t="s">
        <v>626</v>
      </c>
    </row>
    <row r="868" spans="1:7" ht="37.5">
      <c r="A868" s="1">
        <v>865</v>
      </c>
      <c r="B868" s="21" t="s">
        <v>912</v>
      </c>
      <c r="C868" s="1">
        <v>185151</v>
      </c>
      <c r="D868" s="21" t="s">
        <v>34</v>
      </c>
      <c r="E868" s="74" t="s">
        <v>913</v>
      </c>
      <c r="G868" s="20">
        <v>30000000</v>
      </c>
    </row>
    <row r="869" spans="1:7" ht="37.5">
      <c r="A869" s="1">
        <v>866</v>
      </c>
      <c r="B869" s="21" t="s">
        <v>915</v>
      </c>
      <c r="C869" s="1">
        <v>185152</v>
      </c>
      <c r="D869" s="21" t="s">
        <v>34</v>
      </c>
      <c r="E869" s="74" t="s">
        <v>914</v>
      </c>
      <c r="G869" s="20">
        <v>371000000</v>
      </c>
    </row>
    <row r="870" spans="1:7" ht="56.25">
      <c r="A870" s="1">
        <v>867</v>
      </c>
      <c r="B870" s="21" t="s">
        <v>915</v>
      </c>
      <c r="C870" s="1">
        <v>185153</v>
      </c>
      <c r="D870" s="21" t="s">
        <v>34</v>
      </c>
      <c r="E870" s="74" t="s">
        <v>916</v>
      </c>
      <c r="G870" s="20">
        <v>1184952000</v>
      </c>
    </row>
    <row r="871" spans="1:7" ht="37.5">
      <c r="A871" s="1">
        <v>868</v>
      </c>
      <c r="B871" s="21" t="s">
        <v>915</v>
      </c>
      <c r="C871" s="1">
        <v>185154</v>
      </c>
      <c r="D871" s="21" t="s">
        <v>34</v>
      </c>
      <c r="E871" s="74" t="s">
        <v>876</v>
      </c>
      <c r="G871" s="20">
        <v>25000000000</v>
      </c>
    </row>
    <row r="872" spans="1:7" ht="56.25">
      <c r="A872" s="1">
        <v>869</v>
      </c>
      <c r="B872" s="21" t="s">
        <v>917</v>
      </c>
      <c r="C872" s="1">
        <v>185155</v>
      </c>
      <c r="D872" s="21" t="s">
        <v>34</v>
      </c>
      <c r="E872" s="74" t="s">
        <v>918</v>
      </c>
      <c r="G872" s="20">
        <v>152600000</v>
      </c>
    </row>
    <row r="873" spans="1:7" ht="37.5">
      <c r="A873" s="1">
        <v>870</v>
      </c>
      <c r="B873" s="21" t="s">
        <v>917</v>
      </c>
      <c r="C873" s="1">
        <v>185156</v>
      </c>
      <c r="D873" s="21" t="s">
        <v>34</v>
      </c>
      <c r="E873" s="74" t="s">
        <v>919</v>
      </c>
      <c r="G873" s="20">
        <v>1821899236</v>
      </c>
    </row>
    <row r="874" spans="1:7" ht="56.25">
      <c r="A874" s="1">
        <v>871</v>
      </c>
      <c r="B874" s="21" t="s">
        <v>917</v>
      </c>
      <c r="C874" s="1">
        <v>185157</v>
      </c>
      <c r="D874" s="21" t="s">
        <v>34</v>
      </c>
      <c r="E874" s="74" t="s">
        <v>920</v>
      </c>
      <c r="G874" s="20">
        <v>648156386</v>
      </c>
    </row>
    <row r="875" spans="1:7" ht="37.5">
      <c r="A875" s="1">
        <v>872</v>
      </c>
      <c r="B875" s="21" t="s">
        <v>917</v>
      </c>
      <c r="C875" s="1">
        <v>185158</v>
      </c>
      <c r="D875" s="21" t="s">
        <v>34</v>
      </c>
      <c r="E875" s="74" t="s">
        <v>921</v>
      </c>
      <c r="G875" s="20">
        <v>12656000</v>
      </c>
    </row>
    <row r="876" spans="1:7" ht="75">
      <c r="A876" s="1">
        <v>873</v>
      </c>
      <c r="B876" s="21" t="s">
        <v>917</v>
      </c>
      <c r="C876" s="1">
        <v>185159</v>
      </c>
      <c r="D876" s="21" t="s">
        <v>34</v>
      </c>
      <c r="E876" s="74" t="s">
        <v>922</v>
      </c>
      <c r="G876" s="20">
        <v>200000000</v>
      </c>
    </row>
    <row r="877" spans="1:7" ht="37.5">
      <c r="A877" s="1">
        <v>874</v>
      </c>
      <c r="B877" s="21" t="s">
        <v>917</v>
      </c>
      <c r="C877" s="1">
        <v>185160</v>
      </c>
      <c r="D877" s="21" t="s">
        <v>34</v>
      </c>
      <c r="E877" s="74" t="s">
        <v>894</v>
      </c>
      <c r="G877" s="20">
        <v>500000000</v>
      </c>
    </row>
    <row r="878" spans="1:7" ht="37.5">
      <c r="A878" s="1">
        <v>875</v>
      </c>
      <c r="B878" s="21" t="s">
        <v>917</v>
      </c>
      <c r="C878" s="1">
        <v>185161</v>
      </c>
      <c r="D878" s="21" t="s">
        <v>34</v>
      </c>
      <c r="E878" s="151" t="s">
        <v>923</v>
      </c>
      <c r="G878" s="20">
        <v>2000000000</v>
      </c>
    </row>
    <row r="879" spans="1:7" ht="37.5">
      <c r="A879" s="1">
        <v>876</v>
      </c>
      <c r="B879" s="21" t="s">
        <v>924</v>
      </c>
      <c r="C879" s="1">
        <v>185162</v>
      </c>
      <c r="D879" s="21" t="s">
        <v>34</v>
      </c>
      <c r="E879" s="74" t="s">
        <v>925</v>
      </c>
      <c r="G879" s="20">
        <v>350000000</v>
      </c>
    </row>
    <row r="880" spans="1:7" ht="56.25">
      <c r="A880" s="1">
        <v>877</v>
      </c>
      <c r="B880" s="21" t="s">
        <v>924</v>
      </c>
      <c r="C880" s="1">
        <v>185163</v>
      </c>
      <c r="D880" s="21" t="s">
        <v>34</v>
      </c>
      <c r="E880" s="74" t="s">
        <v>926</v>
      </c>
      <c r="G880" s="20">
        <v>500000000</v>
      </c>
    </row>
    <row r="881" spans="1:8" ht="37.5">
      <c r="A881" s="1">
        <v>878</v>
      </c>
      <c r="B881" s="21" t="s">
        <v>924</v>
      </c>
      <c r="C881" s="1">
        <v>185164</v>
      </c>
      <c r="D881" s="21" t="s">
        <v>34</v>
      </c>
      <c r="E881" s="74" t="s">
        <v>927</v>
      </c>
      <c r="G881" s="20">
        <v>6384320000</v>
      </c>
    </row>
    <row r="882" spans="1:8" ht="56.25">
      <c r="A882" s="1">
        <v>879</v>
      </c>
      <c r="B882" s="21" t="s">
        <v>924</v>
      </c>
      <c r="C882" s="1">
        <v>185165</v>
      </c>
      <c r="D882" s="21" t="s">
        <v>34</v>
      </c>
      <c r="E882" s="74" t="s">
        <v>928</v>
      </c>
      <c r="G882" s="20">
        <v>37579080000</v>
      </c>
    </row>
    <row r="883" spans="1:8" ht="37.5">
      <c r="A883" s="1">
        <v>880</v>
      </c>
      <c r="B883" s="21" t="s">
        <v>924</v>
      </c>
      <c r="C883" s="1">
        <v>185166</v>
      </c>
      <c r="D883" s="21" t="s">
        <v>34</v>
      </c>
      <c r="E883" s="74" t="s">
        <v>929</v>
      </c>
      <c r="G883" s="20">
        <v>541580200</v>
      </c>
    </row>
    <row r="884" spans="1:8" ht="37.5">
      <c r="A884" s="1">
        <v>881</v>
      </c>
      <c r="B884" s="21" t="s">
        <v>924</v>
      </c>
      <c r="C884" s="1">
        <v>185167</v>
      </c>
      <c r="D884" s="21" t="s">
        <v>34</v>
      </c>
      <c r="E884" s="74" t="s">
        <v>757</v>
      </c>
      <c r="G884" s="20">
        <v>20000000000</v>
      </c>
    </row>
    <row r="885" spans="1:8" ht="37.5">
      <c r="A885" s="1">
        <v>882</v>
      </c>
      <c r="B885" s="21" t="s">
        <v>924</v>
      </c>
      <c r="C885" s="1">
        <v>185168</v>
      </c>
      <c r="D885" s="21" t="s">
        <v>34</v>
      </c>
      <c r="E885" s="74" t="s">
        <v>933</v>
      </c>
      <c r="G885" s="20">
        <v>511269124</v>
      </c>
    </row>
    <row r="886" spans="1:8" ht="56.25">
      <c r="A886" s="1">
        <v>883</v>
      </c>
      <c r="B886" s="21" t="s">
        <v>924</v>
      </c>
      <c r="C886" s="1">
        <v>185169</v>
      </c>
      <c r="D886" s="21" t="s">
        <v>34</v>
      </c>
      <c r="E886" s="74" t="s">
        <v>930</v>
      </c>
      <c r="G886" s="20">
        <v>77565311800</v>
      </c>
    </row>
    <row r="887" spans="1:8" ht="37.5">
      <c r="A887" s="1">
        <v>884</v>
      </c>
      <c r="B887" s="21" t="s">
        <v>931</v>
      </c>
      <c r="C887" s="1">
        <v>185170</v>
      </c>
      <c r="D887" s="21" t="s">
        <v>34</v>
      </c>
      <c r="E887" s="74" t="s">
        <v>876</v>
      </c>
      <c r="G887" s="20">
        <v>5000000000</v>
      </c>
    </row>
    <row r="888" spans="1:8" ht="56.25">
      <c r="A888" s="1">
        <v>885</v>
      </c>
      <c r="B888" s="21" t="s">
        <v>931</v>
      </c>
      <c r="C888" s="1">
        <v>185171</v>
      </c>
      <c r="D888" s="21" t="s">
        <v>34</v>
      </c>
      <c r="E888" s="175" t="s">
        <v>932</v>
      </c>
      <c r="G888" s="20">
        <v>4226627200</v>
      </c>
    </row>
    <row r="889" spans="1:8" ht="37.5">
      <c r="A889" s="1">
        <v>886</v>
      </c>
      <c r="B889" s="21" t="s">
        <v>931</v>
      </c>
      <c r="C889" s="1">
        <v>185172</v>
      </c>
      <c r="D889" s="21" t="s">
        <v>34</v>
      </c>
      <c r="E889" s="74" t="s">
        <v>934</v>
      </c>
      <c r="G889" s="20">
        <v>4500000000</v>
      </c>
    </row>
    <row r="890" spans="1:8" ht="56.25">
      <c r="A890" s="1">
        <v>887</v>
      </c>
      <c r="B890" s="21" t="s">
        <v>931</v>
      </c>
      <c r="C890" s="1">
        <v>185173</v>
      </c>
      <c r="D890" s="21" t="s">
        <v>34</v>
      </c>
      <c r="E890" s="74" t="s">
        <v>935</v>
      </c>
      <c r="G890" s="20">
        <v>1013391314</v>
      </c>
    </row>
    <row r="891" spans="1:8" ht="56.25">
      <c r="A891" s="1">
        <v>888</v>
      </c>
      <c r="B891" s="21" t="s">
        <v>931</v>
      </c>
      <c r="C891" s="1">
        <v>185174</v>
      </c>
      <c r="D891" s="21" t="s">
        <v>34</v>
      </c>
      <c r="E891" s="74" t="s">
        <v>936</v>
      </c>
      <c r="G891" s="20">
        <v>185206500</v>
      </c>
    </row>
    <row r="892" spans="1:8" ht="37.5">
      <c r="A892" s="1">
        <v>889</v>
      </c>
      <c r="B892" s="21" t="s">
        <v>931</v>
      </c>
      <c r="C892" s="1">
        <v>185175</v>
      </c>
      <c r="D892" s="21" t="s">
        <v>34</v>
      </c>
      <c r="E892" s="74" t="s">
        <v>894</v>
      </c>
      <c r="G892" s="20">
        <v>45000000</v>
      </c>
    </row>
    <row r="893" spans="1:8" ht="21">
      <c r="A893" s="1">
        <v>890</v>
      </c>
      <c r="B893" s="21"/>
      <c r="C893" s="179"/>
      <c r="D893" s="21"/>
      <c r="E893" s="74"/>
      <c r="F893" s="181"/>
      <c r="G893" s="182"/>
      <c r="H893" s="182"/>
    </row>
    <row r="894" spans="1:8" ht="21">
      <c r="A894" s="1">
        <v>891</v>
      </c>
      <c r="B894" s="180"/>
      <c r="C894" s="179"/>
      <c r="D894" s="180"/>
      <c r="E894" s="74"/>
      <c r="F894" s="181"/>
      <c r="G894" s="182"/>
      <c r="H894" s="182"/>
    </row>
    <row r="895" spans="1:8" ht="21">
      <c r="A895" s="1">
        <v>892</v>
      </c>
      <c r="B895" s="180"/>
      <c r="C895" s="179"/>
      <c r="D895" s="180"/>
      <c r="E895" s="74"/>
      <c r="F895" s="181"/>
      <c r="G895" s="182"/>
      <c r="H895" s="182"/>
    </row>
    <row r="896" spans="1:8" ht="21">
      <c r="A896" s="1">
        <v>893</v>
      </c>
      <c r="B896" s="180"/>
      <c r="C896" s="179"/>
      <c r="D896" s="180"/>
      <c r="E896" s="74"/>
      <c r="F896" s="181"/>
      <c r="G896" s="182"/>
      <c r="H896" s="182"/>
    </row>
    <row r="897" spans="1:8" ht="21">
      <c r="A897" s="1">
        <v>894</v>
      </c>
      <c r="B897" s="180"/>
      <c r="C897" s="179"/>
      <c r="D897" s="180"/>
      <c r="E897" s="74"/>
      <c r="F897" s="181"/>
      <c r="G897" s="182"/>
      <c r="H897" s="182"/>
    </row>
    <row r="898" spans="1:8" ht="21">
      <c r="A898" s="1">
        <v>895</v>
      </c>
      <c r="B898" s="21"/>
      <c r="C898" s="1"/>
      <c r="D898" s="21"/>
      <c r="E898" s="74"/>
    </row>
    <row r="899" spans="1:8" ht="21">
      <c r="A899" s="1">
        <v>896</v>
      </c>
      <c r="B899" s="154"/>
      <c r="C899" s="1"/>
      <c r="D899" s="154"/>
      <c r="E899" s="74"/>
      <c r="F899" s="155"/>
      <c r="G899" s="156"/>
      <c r="H899" s="156"/>
    </row>
    <row r="900" spans="1:8" ht="21">
      <c r="A900" s="1">
        <v>897</v>
      </c>
      <c r="B900" s="154"/>
      <c r="C900" s="153"/>
      <c r="D900" s="154"/>
      <c r="E900" s="74"/>
      <c r="F900" s="155"/>
      <c r="G900" s="156"/>
      <c r="H900" s="156"/>
    </row>
    <row r="901" spans="1:8" ht="42.75" customHeight="1">
      <c r="A901" s="1" t="s">
        <v>537</v>
      </c>
      <c r="B901" s="21"/>
      <c r="C901" s="1"/>
      <c r="D901" s="21"/>
      <c r="E901" s="78"/>
      <c r="F901" s="80"/>
      <c r="G901" s="19"/>
      <c r="H901" s="159"/>
    </row>
    <row r="902" spans="1:8" ht="42.75" customHeight="1">
      <c r="E902" s="73"/>
      <c r="F902" s="19"/>
      <c r="G902" s="73"/>
    </row>
    <row r="903" spans="1:8" ht="42.75" customHeight="1">
      <c r="E903" s="73"/>
      <c r="F903" s="19"/>
      <c r="G903" s="73"/>
    </row>
    <row r="904" spans="1:8" ht="42.75" customHeight="1">
      <c r="E904" s="73"/>
      <c r="F904" s="19"/>
      <c r="G904" s="73"/>
    </row>
    <row r="905" spans="1:8" ht="42.75" customHeight="1">
      <c r="E905" s="73"/>
      <c r="F905" s="19"/>
      <c r="G905" s="73"/>
    </row>
    <row r="906" spans="1:8" ht="42.75" customHeight="1">
      <c r="E906" s="73"/>
      <c r="F906" s="19"/>
      <c r="G906" s="73"/>
    </row>
    <row r="907" spans="1:8" ht="42.75" customHeight="1">
      <c r="E907" s="73"/>
      <c r="F907" s="19"/>
      <c r="G907" s="73"/>
    </row>
    <row r="908" spans="1:8" ht="42.75" customHeight="1">
      <c r="E908" s="73"/>
      <c r="F908" s="19"/>
      <c r="G908" s="73"/>
    </row>
    <row r="909" spans="1:8" ht="42.75" customHeight="1">
      <c r="E909" s="73"/>
      <c r="F909" s="19"/>
      <c r="G909" s="73"/>
    </row>
    <row r="910" spans="1:8" ht="42.75" customHeight="1">
      <c r="E910" s="73"/>
      <c r="F910" s="19"/>
      <c r="G910" s="73"/>
    </row>
    <row r="911" spans="1:8" ht="42.75" customHeight="1">
      <c r="E911" s="73"/>
      <c r="F911" s="19"/>
      <c r="G911" s="73"/>
    </row>
    <row r="912" spans="1:8" ht="42.75" customHeight="1">
      <c r="E912" s="73"/>
      <c r="F912" s="19"/>
      <c r="G912" s="73"/>
    </row>
    <row r="913" spans="5:7" ht="42.75" customHeight="1">
      <c r="E913" s="73"/>
      <c r="F913" s="19"/>
      <c r="G913" s="73"/>
    </row>
    <row r="914" spans="5:7" ht="42.75" customHeight="1">
      <c r="E914" s="73"/>
      <c r="F914" s="19"/>
      <c r="G914" s="73"/>
    </row>
  </sheetData>
  <printOptions horizontalCentered="1"/>
  <pageMargins left="0.7" right="0.7" top="0.75" bottom="0.75" header="0.3" footer="0.3"/>
  <pageSetup paperSize="9" scale="10" orientation="portrait" r:id="rId1"/>
  <headerFooter>
    <oddFooter>&amp;L&amp;P of&amp;N&amp;C&amp;"B Nazanin,Bold"&amp;10زینب امین زاده&amp;R&amp;D</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9" tint="-0.499984740745262"/>
  </sheetPr>
  <dimension ref="A1:I712"/>
  <sheetViews>
    <sheetView rightToLeft="1" view="pageBreakPreview" topLeftCell="A74" zoomScale="98" zoomScaleNormal="100" zoomScaleSheetLayoutView="98" workbookViewId="0">
      <selection activeCell="E61" sqref="E61"/>
    </sheetView>
  </sheetViews>
  <sheetFormatPr defaultColWidth="9.140625" defaultRowHeight="18.75"/>
  <cols>
    <col min="1" max="1" width="5.42578125" style="19" customWidth="1"/>
    <col min="2" max="2" width="13.28515625" style="19" customWidth="1"/>
    <col min="3" max="3" width="12.85546875" style="19" bestFit="1" customWidth="1"/>
    <col min="4" max="4" width="16.42578125" style="19" customWidth="1"/>
    <col min="5" max="5" width="79.140625" style="19" customWidth="1"/>
    <col min="6" max="6" width="20.28515625" style="73" customWidth="1"/>
    <col min="7" max="7" width="19.5703125" style="20" bestFit="1" customWidth="1"/>
    <col min="8" max="8" width="20.28515625" style="20" customWidth="1"/>
    <col min="9" max="9" width="30.140625" style="19" bestFit="1" customWidth="1"/>
    <col min="10" max="16384" width="9.140625" style="19"/>
  </cols>
  <sheetData>
    <row r="1" spans="1:9" ht="21">
      <c r="A1" s="435" t="s">
        <v>6</v>
      </c>
      <c r="B1" s="435"/>
      <c r="C1" s="435"/>
      <c r="D1" s="435"/>
      <c r="E1" s="435"/>
      <c r="F1" s="435"/>
      <c r="G1" s="435"/>
      <c r="H1" s="435"/>
    </row>
    <row r="2" spans="1:9" ht="21">
      <c r="A2" s="435" t="s">
        <v>27</v>
      </c>
      <c r="B2" s="435"/>
      <c r="C2" s="435"/>
      <c r="D2" s="435"/>
      <c r="E2" s="435"/>
      <c r="F2" s="435"/>
      <c r="G2" s="435"/>
      <c r="H2" s="435"/>
    </row>
    <row r="3" spans="1:9" ht="21">
      <c r="A3" s="1" t="s">
        <v>0</v>
      </c>
      <c r="B3" s="1" t="s">
        <v>1</v>
      </c>
      <c r="C3" s="1" t="s">
        <v>2</v>
      </c>
      <c r="D3" s="1" t="s">
        <v>18</v>
      </c>
      <c r="E3" s="1" t="s">
        <v>19</v>
      </c>
      <c r="F3" s="71" t="s">
        <v>3</v>
      </c>
      <c r="G3" s="2" t="s">
        <v>4</v>
      </c>
      <c r="H3" s="2" t="s">
        <v>5</v>
      </c>
      <c r="I3" s="215" t="s">
        <v>1477</v>
      </c>
    </row>
    <row r="4" spans="1:9" ht="21">
      <c r="A4" s="1">
        <v>1</v>
      </c>
      <c r="B4" s="1"/>
      <c r="C4" s="1"/>
      <c r="E4" s="74" t="s">
        <v>26</v>
      </c>
      <c r="F4" s="73">
        <f>48778899246+50000000-4000000000</f>
        <v>44828899246</v>
      </c>
      <c r="H4" s="20">
        <f>Table1[[#This Row],[مبلغ ورود]]-Table1[[#This Row],[مبلغ خروج]]</f>
        <v>44828899246</v>
      </c>
      <c r="I4" s="216"/>
    </row>
    <row r="5" spans="1:9" ht="75">
      <c r="A5" s="1">
        <v>2</v>
      </c>
      <c r="B5" s="1" t="s">
        <v>937</v>
      </c>
      <c r="C5" s="1">
        <v>185176</v>
      </c>
      <c r="D5" s="19" t="s">
        <v>938</v>
      </c>
      <c r="E5" s="74" t="s">
        <v>939</v>
      </c>
      <c r="G5" s="20">
        <v>91312487</v>
      </c>
      <c r="H5" s="20">
        <f>H4+Table1[[#This Row],[مبلغ ورود]]-Table1[[#This Row],[مبلغ خروج]]</f>
        <v>44737586759</v>
      </c>
      <c r="I5" s="216"/>
    </row>
    <row r="6" spans="1:9" ht="93.75">
      <c r="A6" s="1">
        <v>3</v>
      </c>
      <c r="B6" s="1" t="s">
        <v>937</v>
      </c>
      <c r="C6" s="1">
        <v>185177</v>
      </c>
      <c r="D6" s="19" t="s">
        <v>938</v>
      </c>
      <c r="E6" s="74" t="s">
        <v>940</v>
      </c>
      <c r="G6" s="20">
        <v>72000000</v>
      </c>
      <c r="H6" s="20">
        <f>H5+Table1[[#This Row],[مبلغ ورود]]-Table1[[#This Row],[مبلغ خروج]]</f>
        <v>44665586759</v>
      </c>
      <c r="I6" s="216"/>
    </row>
    <row r="7" spans="1:9" ht="21">
      <c r="A7" s="1">
        <v>4</v>
      </c>
      <c r="B7" s="186" t="s">
        <v>937</v>
      </c>
      <c r="C7" s="183"/>
      <c r="E7" s="74" t="s">
        <v>973</v>
      </c>
      <c r="F7" s="184">
        <v>60377238</v>
      </c>
      <c r="G7" s="185"/>
      <c r="H7" s="20">
        <f>H6+Table1[[#This Row],[مبلغ ورود]]-Table1[[#This Row],[مبلغ خروج]]</f>
        <v>44725963997</v>
      </c>
      <c r="I7" s="216"/>
    </row>
    <row r="8" spans="1:9" ht="75">
      <c r="A8" s="1">
        <v>5</v>
      </c>
      <c r="B8" s="1" t="s">
        <v>941</v>
      </c>
      <c r="C8" s="1">
        <v>185178</v>
      </c>
      <c r="D8" s="19" t="s">
        <v>938</v>
      </c>
      <c r="E8" s="74" t="s">
        <v>942</v>
      </c>
      <c r="G8" s="20">
        <v>180000000</v>
      </c>
      <c r="H8" s="20">
        <f>H7+Table1[[#This Row],[مبلغ ورود]]-Table1[[#This Row],[مبلغ خروج]]</f>
        <v>44545963997</v>
      </c>
      <c r="I8" s="216"/>
    </row>
    <row r="9" spans="1:9" ht="21">
      <c r="A9" s="1">
        <v>6</v>
      </c>
      <c r="B9" s="186" t="s">
        <v>972</v>
      </c>
      <c r="C9" s="183"/>
      <c r="E9" s="74" t="s">
        <v>971</v>
      </c>
      <c r="F9" s="184">
        <v>1233391966</v>
      </c>
      <c r="G9" s="185"/>
      <c r="H9" s="20">
        <f>H8+Table1[[#This Row],[مبلغ ورود]]-Table1[[#This Row],[مبلغ خروج]]</f>
        <v>45779355963</v>
      </c>
      <c r="I9" s="216"/>
    </row>
    <row r="10" spans="1:9" ht="56.25">
      <c r="A10" s="1">
        <v>7</v>
      </c>
      <c r="B10" s="1" t="s">
        <v>943</v>
      </c>
      <c r="C10" s="1">
        <v>185179</v>
      </c>
      <c r="D10" s="19" t="s">
        <v>938</v>
      </c>
      <c r="E10" s="74" t="s">
        <v>944</v>
      </c>
      <c r="G10" s="20">
        <v>91185511</v>
      </c>
      <c r="H10" s="20">
        <f>H9+Table1[[#This Row],[مبلغ ورود]]-Table1[[#This Row],[مبلغ خروج]]</f>
        <v>45688170452</v>
      </c>
      <c r="I10" s="216"/>
    </row>
    <row r="11" spans="1:9" ht="75">
      <c r="A11" s="1">
        <v>8</v>
      </c>
      <c r="B11" s="1" t="s">
        <v>945</v>
      </c>
      <c r="C11" s="1">
        <v>185180</v>
      </c>
      <c r="D11" s="19" t="s">
        <v>938</v>
      </c>
      <c r="E11" s="74" t="s">
        <v>946</v>
      </c>
      <c r="G11" s="20">
        <v>70632000</v>
      </c>
      <c r="H11" s="20">
        <f>H10+Table1[[#This Row],[مبلغ ورود]]-Table1[[#This Row],[مبلغ خروج]]</f>
        <v>45617538452</v>
      </c>
      <c r="I11" s="216"/>
    </row>
    <row r="12" spans="1:9" ht="37.5">
      <c r="A12" s="1">
        <v>9</v>
      </c>
      <c r="B12" s="1" t="s">
        <v>947</v>
      </c>
      <c r="C12" s="1">
        <v>185181</v>
      </c>
      <c r="D12" s="19" t="s">
        <v>938</v>
      </c>
      <c r="E12" s="74" t="s">
        <v>948</v>
      </c>
      <c r="G12" s="20">
        <v>67580000</v>
      </c>
      <c r="H12" s="20">
        <f>H11+Table1[[#This Row],[مبلغ ورود]]-Table1[[#This Row],[مبلغ خروج]]</f>
        <v>45549958452</v>
      </c>
      <c r="I12" s="216"/>
    </row>
    <row r="13" spans="1:9" ht="56.25">
      <c r="A13" s="1">
        <v>10</v>
      </c>
      <c r="B13" s="1" t="s">
        <v>949</v>
      </c>
      <c r="C13" s="1">
        <v>185182</v>
      </c>
      <c r="D13" s="19" t="s">
        <v>938</v>
      </c>
      <c r="E13" s="74" t="s">
        <v>950</v>
      </c>
      <c r="G13" s="20">
        <v>55659000</v>
      </c>
      <c r="H13" s="20">
        <f>H12+Table1[[#This Row],[مبلغ ورود]]-Table1[[#This Row],[مبلغ خروج]]</f>
        <v>45494299452</v>
      </c>
      <c r="I13" s="216"/>
    </row>
    <row r="14" spans="1:9" ht="56.25">
      <c r="A14" s="1">
        <v>11</v>
      </c>
      <c r="B14" s="1" t="s">
        <v>949</v>
      </c>
      <c r="C14" s="1">
        <v>185183</v>
      </c>
      <c r="D14" s="19" t="s">
        <v>938</v>
      </c>
      <c r="E14" s="74" t="s">
        <v>951</v>
      </c>
      <c r="G14" s="20">
        <v>14570023155</v>
      </c>
      <c r="H14" s="20">
        <f>H13+Table1[[#This Row],[مبلغ ورود]]-Table1[[#This Row],[مبلغ خروج]]</f>
        <v>30924276297</v>
      </c>
      <c r="I14" s="216"/>
    </row>
    <row r="15" spans="1:9" ht="37.5">
      <c r="A15" s="1">
        <v>12</v>
      </c>
      <c r="B15" s="1" t="s">
        <v>952</v>
      </c>
      <c r="C15" s="1">
        <v>185184</v>
      </c>
      <c r="D15" s="19" t="s">
        <v>938</v>
      </c>
      <c r="E15" s="74" t="s">
        <v>953</v>
      </c>
      <c r="G15" s="20">
        <v>1687414144</v>
      </c>
      <c r="H15" s="20">
        <f>H14+Table1[[#This Row],[مبلغ ورود]]-Table1[[#This Row],[مبلغ خروج]]</f>
        <v>29236862153</v>
      </c>
      <c r="I15" s="216"/>
    </row>
    <row r="16" spans="1:9" ht="37.5">
      <c r="A16" s="1">
        <v>13</v>
      </c>
      <c r="B16" s="1" t="s">
        <v>952</v>
      </c>
      <c r="C16" s="1">
        <v>185185</v>
      </c>
      <c r="D16" s="19" t="s">
        <v>938</v>
      </c>
      <c r="E16" s="74" t="s">
        <v>954</v>
      </c>
      <c r="G16" s="20">
        <v>208582736</v>
      </c>
      <c r="H16" s="20">
        <f>H15+Table1[[#This Row],[مبلغ ورود]]-Table1[[#This Row],[مبلغ خروج]]</f>
        <v>29028279417</v>
      </c>
      <c r="I16" s="216"/>
    </row>
    <row r="17" spans="1:9" ht="37.5">
      <c r="A17" s="1">
        <v>14</v>
      </c>
      <c r="B17" s="1" t="s">
        <v>952</v>
      </c>
      <c r="C17" s="1">
        <v>185186</v>
      </c>
      <c r="D17" s="19" t="s">
        <v>938</v>
      </c>
      <c r="E17" s="74" t="s">
        <v>793</v>
      </c>
      <c r="G17" s="20">
        <v>4000000000</v>
      </c>
      <c r="H17" s="20">
        <f>H16+Table1[[#This Row],[مبلغ ورود]]-Table1[[#This Row],[مبلغ خروج]]</f>
        <v>25028279417</v>
      </c>
      <c r="I17" s="216"/>
    </row>
    <row r="18" spans="1:9" ht="56.25">
      <c r="A18" s="1">
        <v>15</v>
      </c>
      <c r="B18" s="1" t="s">
        <v>955</v>
      </c>
      <c r="C18" s="1">
        <v>185187</v>
      </c>
      <c r="D18" s="19" t="s">
        <v>938</v>
      </c>
      <c r="E18" s="74" t="s">
        <v>956</v>
      </c>
      <c r="G18" s="20">
        <v>66165236</v>
      </c>
      <c r="H18" s="20">
        <f>H17+Table1[[#This Row],[مبلغ ورود]]-Table1[[#This Row],[مبلغ خروج]]</f>
        <v>24962114181</v>
      </c>
      <c r="I18" s="216"/>
    </row>
    <row r="19" spans="1:9" ht="37.5">
      <c r="A19" s="1">
        <v>16</v>
      </c>
      <c r="B19" s="186" t="s">
        <v>955</v>
      </c>
      <c r="C19" s="183">
        <v>185188</v>
      </c>
      <c r="D19" s="19" t="s">
        <v>938</v>
      </c>
      <c r="E19" s="151" t="s">
        <v>957</v>
      </c>
      <c r="F19" s="184"/>
      <c r="G19" s="185">
        <v>2000000000</v>
      </c>
      <c r="H19" s="20">
        <f>H18+Table1[[#This Row],[مبلغ ورود]]-Table1[[#This Row],[مبلغ خروج]]</f>
        <v>22962114181</v>
      </c>
      <c r="I19" s="216"/>
    </row>
    <row r="20" spans="1:9" ht="37.5">
      <c r="A20" s="1">
        <v>17</v>
      </c>
      <c r="B20" s="186" t="s">
        <v>955</v>
      </c>
      <c r="C20" s="183">
        <v>185189</v>
      </c>
      <c r="D20" s="19" t="s">
        <v>938</v>
      </c>
      <c r="E20" s="74" t="s">
        <v>1845</v>
      </c>
      <c r="F20" s="184"/>
      <c r="G20" s="185">
        <v>278250000</v>
      </c>
      <c r="H20" s="20">
        <f>H19+Table1[[#This Row],[مبلغ ورود]]-Table1[[#This Row],[مبلغ خروج]]</f>
        <v>22683864181</v>
      </c>
      <c r="I20" s="216"/>
    </row>
    <row r="21" spans="1:9" ht="37.5">
      <c r="A21" s="1">
        <v>18</v>
      </c>
      <c r="B21" s="186" t="s">
        <v>959</v>
      </c>
      <c r="C21" s="183">
        <v>185190</v>
      </c>
      <c r="D21" s="19" t="s">
        <v>938</v>
      </c>
      <c r="E21" s="74" t="s">
        <v>958</v>
      </c>
      <c r="F21" s="184"/>
      <c r="G21" s="185">
        <v>1000000000</v>
      </c>
      <c r="H21" s="20">
        <f>H20+Table1[[#This Row],[مبلغ ورود]]-Table1[[#This Row],[مبلغ خروج]]</f>
        <v>21683864181</v>
      </c>
      <c r="I21" s="216"/>
    </row>
    <row r="22" spans="1:9" ht="37.5">
      <c r="A22" s="1">
        <v>19</v>
      </c>
      <c r="B22" s="186" t="s">
        <v>960</v>
      </c>
      <c r="C22" s="183">
        <v>185191</v>
      </c>
      <c r="D22" s="19" t="s">
        <v>938</v>
      </c>
      <c r="E22" s="74" t="s">
        <v>793</v>
      </c>
      <c r="F22" s="184"/>
      <c r="G22" s="185">
        <v>6000000000</v>
      </c>
      <c r="H22" s="20">
        <f>H21+Table1[[#This Row],[مبلغ ورود]]-Table1[[#This Row],[مبلغ خروج]]</f>
        <v>15683864181</v>
      </c>
      <c r="I22" s="216"/>
    </row>
    <row r="23" spans="1:9" ht="56.25">
      <c r="A23" s="1">
        <v>20</v>
      </c>
      <c r="B23" s="186" t="s">
        <v>961</v>
      </c>
      <c r="C23" s="183">
        <v>185192</v>
      </c>
      <c r="D23" s="19" t="s">
        <v>938</v>
      </c>
      <c r="E23" s="74" t="s">
        <v>962</v>
      </c>
      <c r="F23" s="184"/>
      <c r="G23" s="185">
        <v>366740166</v>
      </c>
      <c r="H23" s="20">
        <f>H22+Table1[[#This Row],[مبلغ ورود]]-Table1[[#This Row],[مبلغ خروج]]</f>
        <v>15317124015</v>
      </c>
      <c r="I23" s="216"/>
    </row>
    <row r="24" spans="1:9" ht="56.25">
      <c r="A24" s="1">
        <v>21</v>
      </c>
      <c r="B24" s="186" t="s">
        <v>961</v>
      </c>
      <c r="C24" s="183">
        <v>185193</v>
      </c>
      <c r="D24" s="19" t="s">
        <v>938</v>
      </c>
      <c r="E24" s="74" t="s">
        <v>963</v>
      </c>
      <c r="F24" s="184"/>
      <c r="G24" s="185">
        <v>59035000</v>
      </c>
      <c r="H24" s="20">
        <f>H23+Table1[[#This Row],[مبلغ ورود]]-Table1[[#This Row],[مبلغ خروج]]</f>
        <v>15258089015</v>
      </c>
      <c r="I24" s="216"/>
    </row>
    <row r="25" spans="1:9" ht="21">
      <c r="A25" s="1">
        <v>22</v>
      </c>
      <c r="B25" s="186" t="s">
        <v>964</v>
      </c>
      <c r="C25" s="183"/>
      <c r="D25" s="19" t="s">
        <v>938</v>
      </c>
      <c r="E25" s="74" t="s">
        <v>970</v>
      </c>
      <c r="F25" s="184">
        <v>9900000000</v>
      </c>
      <c r="G25" s="185"/>
      <c r="H25" s="20">
        <f>H24+Table1[[#This Row],[مبلغ ورود]]-Table1[[#This Row],[مبلغ خروج]]</f>
        <v>25158089015</v>
      </c>
      <c r="I25" s="216"/>
    </row>
    <row r="26" spans="1:9" ht="56.25">
      <c r="A26" s="1">
        <v>23</v>
      </c>
      <c r="B26" s="186" t="s">
        <v>964</v>
      </c>
      <c r="C26" s="183">
        <v>185194</v>
      </c>
      <c r="D26" s="19" t="s">
        <v>938</v>
      </c>
      <c r="E26" s="74" t="s">
        <v>965</v>
      </c>
      <c r="F26" s="184"/>
      <c r="G26" s="185">
        <v>154465635</v>
      </c>
      <c r="H26" s="20">
        <f>H25+Table1[[#This Row],[مبلغ ورود]]-Table1[[#This Row],[مبلغ خروج]]</f>
        <v>25003623380</v>
      </c>
      <c r="I26" s="216"/>
    </row>
    <row r="27" spans="1:9" ht="56.25">
      <c r="A27" s="1">
        <v>24</v>
      </c>
      <c r="B27" s="186" t="s">
        <v>964</v>
      </c>
      <c r="C27" s="183">
        <v>185195</v>
      </c>
      <c r="D27" s="19" t="s">
        <v>938</v>
      </c>
      <c r="E27" s="74" t="s">
        <v>967</v>
      </c>
      <c r="F27" s="184"/>
      <c r="G27" s="185">
        <v>166116000</v>
      </c>
      <c r="H27" s="20">
        <f>H26+Table1[[#This Row],[مبلغ ورود]]-Table1[[#This Row],[مبلغ خروج]]</f>
        <v>24837507380</v>
      </c>
      <c r="I27" s="216"/>
    </row>
    <row r="28" spans="1:9" ht="37.5">
      <c r="A28" s="1">
        <v>25</v>
      </c>
      <c r="B28" s="186" t="s">
        <v>964</v>
      </c>
      <c r="C28" s="183">
        <v>185196</v>
      </c>
      <c r="D28" s="19" t="s">
        <v>938</v>
      </c>
      <c r="E28" s="74" t="s">
        <v>968</v>
      </c>
      <c r="F28" s="184"/>
      <c r="G28" s="185">
        <v>5940500</v>
      </c>
      <c r="H28" s="20">
        <f>H27+Table1[[#This Row],[مبلغ ورود]]-Table1[[#This Row],[مبلغ خروج]]</f>
        <v>24831566880</v>
      </c>
      <c r="I28" s="216"/>
    </row>
    <row r="29" spans="1:9" ht="37.5">
      <c r="A29" s="1">
        <v>26</v>
      </c>
      <c r="B29" s="186" t="s">
        <v>966</v>
      </c>
      <c r="C29" s="183">
        <v>185197</v>
      </c>
      <c r="D29" s="19" t="s">
        <v>938</v>
      </c>
      <c r="E29" s="74" t="s">
        <v>969</v>
      </c>
      <c r="F29" s="184"/>
      <c r="G29" s="185">
        <v>1415365000</v>
      </c>
      <c r="H29" s="20">
        <f>H28+Table1[[#This Row],[مبلغ ورود]]-Table1[[#This Row],[مبلغ خروج]]</f>
        <v>23416201880</v>
      </c>
      <c r="I29" s="216"/>
    </row>
    <row r="30" spans="1:9" ht="37.5">
      <c r="A30" s="1">
        <v>27</v>
      </c>
      <c r="B30" s="186" t="s">
        <v>966</v>
      </c>
      <c r="C30" s="183">
        <v>185198</v>
      </c>
      <c r="D30" s="19" t="s">
        <v>938</v>
      </c>
      <c r="E30" s="74" t="s">
        <v>793</v>
      </c>
      <c r="F30" s="184"/>
      <c r="G30" s="185">
        <v>5000000000</v>
      </c>
      <c r="H30" s="20">
        <f>H29+Table1[[#This Row],[مبلغ ورود]]-Table1[[#This Row],[مبلغ خروج]]</f>
        <v>18416201880</v>
      </c>
      <c r="I30" s="216"/>
    </row>
    <row r="31" spans="1:9" ht="56.25">
      <c r="A31" s="1">
        <v>28</v>
      </c>
      <c r="B31" s="186" t="s">
        <v>974</v>
      </c>
      <c r="C31" s="183">
        <v>185199</v>
      </c>
      <c r="D31" s="19" t="s">
        <v>938</v>
      </c>
      <c r="E31" s="74" t="s">
        <v>975</v>
      </c>
      <c r="F31" s="184"/>
      <c r="G31" s="185">
        <v>4711791600</v>
      </c>
      <c r="H31" s="20">
        <f>H30+Table1[[#This Row],[مبلغ ورود]]-Table1[[#This Row],[مبلغ خروج]]</f>
        <v>13704410280</v>
      </c>
      <c r="I31" s="216"/>
    </row>
    <row r="32" spans="1:9" ht="37.5">
      <c r="A32" s="1">
        <v>29</v>
      </c>
      <c r="B32" s="186" t="s">
        <v>974</v>
      </c>
      <c r="C32" s="183">
        <v>185200</v>
      </c>
      <c r="D32" s="19" t="s">
        <v>938</v>
      </c>
      <c r="E32" s="74" t="s">
        <v>793</v>
      </c>
      <c r="F32" s="184"/>
      <c r="G32" s="185">
        <v>6000000000</v>
      </c>
      <c r="H32" s="20">
        <f>H31+Table1[[#This Row],[مبلغ ورود]]-Table1[[#This Row],[مبلغ خروج]]</f>
        <v>7704410280</v>
      </c>
      <c r="I32" s="216"/>
    </row>
    <row r="33" spans="1:9" ht="56.25">
      <c r="A33" s="1">
        <v>30</v>
      </c>
      <c r="B33" s="186" t="s">
        <v>976</v>
      </c>
      <c r="C33" s="183">
        <v>258651</v>
      </c>
      <c r="D33" s="19" t="s">
        <v>938</v>
      </c>
      <c r="E33" s="74" t="s">
        <v>977</v>
      </c>
      <c r="F33" s="184"/>
      <c r="G33" s="185">
        <v>60568000</v>
      </c>
      <c r="H33" s="20">
        <f>H32+Table1[[#This Row],[مبلغ ورود]]-Table1[[#This Row],[مبلغ خروج]]</f>
        <v>7643842280</v>
      </c>
      <c r="I33" s="216"/>
    </row>
    <row r="34" spans="1:9" ht="56.25">
      <c r="A34" s="1">
        <v>31</v>
      </c>
      <c r="B34" s="186" t="s">
        <v>978</v>
      </c>
      <c r="C34" s="183">
        <v>258652</v>
      </c>
      <c r="D34" s="19" t="s">
        <v>938</v>
      </c>
      <c r="E34" s="74" t="s">
        <v>979</v>
      </c>
      <c r="F34" s="184"/>
      <c r="G34" s="185">
        <v>1421320500</v>
      </c>
      <c r="H34" s="20">
        <f>H33+Table1[[#This Row],[مبلغ ورود]]-Table1[[#This Row],[مبلغ خروج]]</f>
        <v>6222521780</v>
      </c>
      <c r="I34" s="216"/>
    </row>
    <row r="35" spans="1:9" ht="37.5">
      <c r="A35" s="1">
        <v>32</v>
      </c>
      <c r="B35" s="186" t="s">
        <v>978</v>
      </c>
      <c r="C35" s="183">
        <v>258653</v>
      </c>
      <c r="D35" s="19" t="s">
        <v>938</v>
      </c>
      <c r="E35" s="74" t="s">
        <v>980</v>
      </c>
      <c r="F35" s="184"/>
      <c r="G35" s="185">
        <v>47300000</v>
      </c>
      <c r="H35" s="20">
        <f>H34+Table1[[#This Row],[مبلغ ورود]]-Table1[[#This Row],[مبلغ خروج]]</f>
        <v>6175221780</v>
      </c>
      <c r="I35" s="216"/>
    </row>
    <row r="36" spans="1:9" ht="21">
      <c r="A36" s="1">
        <v>33</v>
      </c>
      <c r="B36" s="186" t="s">
        <v>978</v>
      </c>
      <c r="C36" s="183"/>
      <c r="E36" s="74" t="s">
        <v>989</v>
      </c>
      <c r="F36" s="184">
        <v>319599800</v>
      </c>
      <c r="G36" s="185"/>
      <c r="H36" s="20">
        <f>H35+Table1[[#This Row],[مبلغ ورود]]-Table1[[#This Row],[مبلغ خروج]]</f>
        <v>6494821580</v>
      </c>
      <c r="I36" s="216"/>
    </row>
    <row r="37" spans="1:9" ht="21">
      <c r="A37" s="1">
        <v>34</v>
      </c>
      <c r="B37" s="186" t="s">
        <v>987</v>
      </c>
      <c r="C37" s="183"/>
      <c r="E37" s="74" t="s">
        <v>985</v>
      </c>
      <c r="F37" s="184">
        <v>50000000000</v>
      </c>
      <c r="G37" s="185"/>
      <c r="H37" s="20">
        <f>H36+Table1[[#This Row],[مبلغ ورود]]-Table1[[#This Row],[مبلغ خروج]]</f>
        <v>56494821580</v>
      </c>
      <c r="I37" s="216"/>
    </row>
    <row r="38" spans="1:9" ht="21">
      <c r="A38" s="1">
        <v>35</v>
      </c>
      <c r="B38" s="186" t="s">
        <v>987</v>
      </c>
      <c r="C38" s="183"/>
      <c r="E38" s="74" t="s">
        <v>986</v>
      </c>
      <c r="F38" s="184">
        <v>6000000000</v>
      </c>
      <c r="G38" s="185"/>
      <c r="H38" s="20">
        <f>H37+Table1[[#This Row],[مبلغ ورود]]-Table1[[#This Row],[مبلغ خروج]]</f>
        <v>62494821580</v>
      </c>
      <c r="I38" s="216"/>
    </row>
    <row r="39" spans="1:9" ht="56.25">
      <c r="A39" s="1">
        <v>36</v>
      </c>
      <c r="B39" s="186" t="s">
        <v>981</v>
      </c>
      <c r="C39" s="183">
        <v>258654</v>
      </c>
      <c r="D39" s="19" t="s">
        <v>938</v>
      </c>
      <c r="E39" s="74" t="s">
        <v>982</v>
      </c>
      <c r="F39" s="184"/>
      <c r="G39" s="185">
        <f>793328698+6580000</f>
        <v>799908698</v>
      </c>
      <c r="H39" s="20">
        <f>H38+Table1[[#This Row],[مبلغ ورود]]-Table1[[#This Row],[مبلغ خروج]]</f>
        <v>61694912882</v>
      </c>
      <c r="I39" s="216"/>
    </row>
    <row r="40" spans="1:9" ht="37.5">
      <c r="A40" s="1">
        <v>37</v>
      </c>
      <c r="B40" s="186" t="s">
        <v>981</v>
      </c>
      <c r="C40" s="183">
        <v>258655</v>
      </c>
      <c r="D40" s="19" t="s">
        <v>938</v>
      </c>
      <c r="E40" s="74" t="s">
        <v>983</v>
      </c>
      <c r="F40" s="184"/>
      <c r="G40" s="185">
        <v>29420000</v>
      </c>
      <c r="H40" s="20">
        <f>H39+Table1[[#This Row],[مبلغ ورود]]-Table1[[#This Row],[مبلغ خروج]]</f>
        <v>61665492882</v>
      </c>
      <c r="I40" s="216"/>
    </row>
    <row r="41" spans="1:9" ht="37.5">
      <c r="A41" s="1">
        <v>38</v>
      </c>
      <c r="B41" s="186" t="s">
        <v>981</v>
      </c>
      <c r="C41" s="183">
        <v>258656</v>
      </c>
      <c r="D41" s="19" t="s">
        <v>938</v>
      </c>
      <c r="E41" s="74" t="s">
        <v>984</v>
      </c>
      <c r="F41" s="184"/>
      <c r="G41" s="185">
        <v>17500000</v>
      </c>
      <c r="H41" s="20">
        <f>H40+Table1[[#This Row],[مبلغ ورود]]-Table1[[#This Row],[مبلغ خروج]]</f>
        <v>61647992882</v>
      </c>
      <c r="I41" s="216"/>
    </row>
    <row r="42" spans="1:9" ht="56.25">
      <c r="A42" s="1">
        <v>39</v>
      </c>
      <c r="B42" s="186" t="s">
        <v>981</v>
      </c>
      <c r="C42" s="183">
        <v>258657</v>
      </c>
      <c r="D42" s="19" t="s">
        <v>938</v>
      </c>
      <c r="E42" s="74" t="s">
        <v>988</v>
      </c>
      <c r="F42" s="184"/>
      <c r="G42" s="185">
        <v>661033492</v>
      </c>
      <c r="H42" s="20">
        <f>H41+Table1[[#This Row],[مبلغ ورود]]-Table1[[#This Row],[مبلغ خروج]]</f>
        <v>60986959390</v>
      </c>
      <c r="I42" s="216"/>
    </row>
    <row r="43" spans="1:9" ht="56.25">
      <c r="A43" s="1">
        <v>40</v>
      </c>
      <c r="B43" s="186" t="s">
        <v>990</v>
      </c>
      <c r="C43" s="183">
        <v>258658</v>
      </c>
      <c r="D43" s="19" t="s">
        <v>938</v>
      </c>
      <c r="E43" s="74" t="s">
        <v>991</v>
      </c>
      <c r="F43" s="184"/>
      <c r="G43" s="185">
        <v>228112934</v>
      </c>
      <c r="H43" s="20">
        <f>H42+Table1[[#This Row],[مبلغ ورود]]-Table1[[#This Row],[مبلغ خروج]]</f>
        <v>60758846456</v>
      </c>
      <c r="I43" s="216"/>
    </row>
    <row r="44" spans="1:9" ht="56.25">
      <c r="A44" s="1">
        <v>41</v>
      </c>
      <c r="B44" s="186" t="s">
        <v>990</v>
      </c>
      <c r="C44" s="183">
        <v>258659</v>
      </c>
      <c r="D44" s="19" t="s">
        <v>938</v>
      </c>
      <c r="E44" s="74" t="s">
        <v>992</v>
      </c>
      <c r="F44" s="184"/>
      <c r="G44" s="185">
        <v>78116380</v>
      </c>
      <c r="H44" s="20">
        <f>H43+Table1[[#This Row],[مبلغ ورود]]-Table1[[#This Row],[مبلغ خروج]]</f>
        <v>60680730076</v>
      </c>
      <c r="I44" s="216"/>
    </row>
    <row r="45" spans="1:9" ht="37.5">
      <c r="A45" s="1">
        <v>42</v>
      </c>
      <c r="B45" s="186" t="s">
        <v>990</v>
      </c>
      <c r="C45" s="183">
        <v>258660</v>
      </c>
      <c r="D45" s="19" t="s">
        <v>938</v>
      </c>
      <c r="E45" s="74" t="s">
        <v>993</v>
      </c>
      <c r="F45" s="184"/>
      <c r="G45" s="185">
        <v>69171400</v>
      </c>
      <c r="H45" s="20">
        <f>H44+Table1[[#This Row],[مبلغ ورود]]-Table1[[#This Row],[مبلغ خروج]]</f>
        <v>60611558676</v>
      </c>
      <c r="I45" s="216"/>
    </row>
    <row r="46" spans="1:9" ht="56.25">
      <c r="A46" s="1">
        <v>43</v>
      </c>
      <c r="B46" s="186" t="s">
        <v>990</v>
      </c>
      <c r="C46" s="183">
        <v>258661</v>
      </c>
      <c r="D46" s="19" t="s">
        <v>938</v>
      </c>
      <c r="E46" s="74" t="s">
        <v>994</v>
      </c>
      <c r="F46" s="184"/>
      <c r="G46" s="185">
        <v>93000000</v>
      </c>
      <c r="H46" s="20">
        <f>H45+Table1[[#This Row],[مبلغ ورود]]-Table1[[#This Row],[مبلغ خروج]]</f>
        <v>60518558676</v>
      </c>
      <c r="I46" s="216"/>
    </row>
    <row r="47" spans="1:9" ht="21">
      <c r="A47" s="1">
        <v>44</v>
      </c>
      <c r="B47" s="186" t="s">
        <v>990</v>
      </c>
      <c r="C47" s="1"/>
      <c r="E47" s="74" t="s">
        <v>1019</v>
      </c>
      <c r="F47" s="73">
        <v>63009854</v>
      </c>
      <c r="H47" s="20">
        <f>H46+Table1[[#This Row],[مبلغ ورود]]-Table1[[#This Row],[مبلغ خروج]]</f>
        <v>60581568530</v>
      </c>
      <c r="I47" s="216"/>
    </row>
    <row r="48" spans="1:9" ht="37.5">
      <c r="A48" s="1">
        <v>45</v>
      </c>
      <c r="B48" s="186" t="s">
        <v>996</v>
      </c>
      <c r="C48" s="183">
        <v>258662</v>
      </c>
      <c r="D48" s="19" t="s">
        <v>938</v>
      </c>
      <c r="E48" s="74" t="s">
        <v>995</v>
      </c>
      <c r="F48" s="184"/>
      <c r="G48" s="185">
        <v>665375365</v>
      </c>
      <c r="H48" s="20">
        <f>H47+Table1[[#This Row],[مبلغ ورود]]-Table1[[#This Row],[مبلغ خروج]]</f>
        <v>59916193165</v>
      </c>
      <c r="I48" s="216"/>
    </row>
    <row r="49" spans="1:9" ht="37.5">
      <c r="A49" s="1">
        <v>46</v>
      </c>
      <c r="B49" s="186" t="s">
        <v>996</v>
      </c>
      <c r="C49" s="183">
        <v>258663</v>
      </c>
      <c r="D49" s="19" t="s">
        <v>938</v>
      </c>
      <c r="E49" s="74" t="s">
        <v>997</v>
      </c>
      <c r="F49" s="184"/>
      <c r="G49" s="185">
        <v>731795133</v>
      </c>
      <c r="H49" s="20">
        <f>H48+Table1[[#This Row],[مبلغ ورود]]-Table1[[#This Row],[مبلغ خروج]]</f>
        <v>59184398032</v>
      </c>
      <c r="I49" s="216"/>
    </row>
    <row r="50" spans="1:9" ht="21">
      <c r="A50" s="1">
        <v>47</v>
      </c>
      <c r="B50" s="186" t="s">
        <v>996</v>
      </c>
      <c r="C50" s="183">
        <v>258664</v>
      </c>
      <c r="D50" s="19" t="s">
        <v>938</v>
      </c>
      <c r="E50" s="74" t="s">
        <v>710</v>
      </c>
      <c r="F50" s="184"/>
      <c r="G50" s="185">
        <v>3000000000</v>
      </c>
      <c r="H50" s="20">
        <f>H49+Table1[[#This Row],[مبلغ ورود]]-Table1[[#This Row],[مبلغ خروج]]</f>
        <v>56184398032</v>
      </c>
      <c r="I50" s="216"/>
    </row>
    <row r="51" spans="1:9" ht="37.5">
      <c r="A51" s="1">
        <v>48</v>
      </c>
      <c r="B51" s="186" t="s">
        <v>996</v>
      </c>
      <c r="C51" s="183">
        <v>258665</v>
      </c>
      <c r="D51" s="19" t="s">
        <v>938</v>
      </c>
      <c r="E51" s="151" t="s">
        <v>998</v>
      </c>
      <c r="F51" s="184"/>
      <c r="G51" s="185">
        <v>2500000000</v>
      </c>
      <c r="H51" s="20">
        <f>H50+Table1[[#This Row],[مبلغ ورود]]-Table1[[#This Row],[مبلغ خروج]]</f>
        <v>53684398032</v>
      </c>
      <c r="I51" s="216"/>
    </row>
    <row r="52" spans="1:9" ht="56.25">
      <c r="A52" s="1">
        <v>49</v>
      </c>
      <c r="B52" s="186" t="s">
        <v>999</v>
      </c>
      <c r="C52" s="183">
        <v>258666</v>
      </c>
      <c r="D52" s="19" t="s">
        <v>938</v>
      </c>
      <c r="E52" s="74" t="s">
        <v>1000</v>
      </c>
      <c r="F52" s="184"/>
      <c r="G52" s="185">
        <v>99580000</v>
      </c>
      <c r="H52" s="20">
        <f>H51+Table1[[#This Row],[مبلغ ورود]]-Table1[[#This Row],[مبلغ خروج]]</f>
        <v>53584818032</v>
      </c>
      <c r="I52" s="216"/>
    </row>
    <row r="53" spans="1:9" ht="56.25">
      <c r="A53" s="1">
        <v>50</v>
      </c>
      <c r="B53" s="186" t="s">
        <v>999</v>
      </c>
      <c r="C53" s="183">
        <v>258670</v>
      </c>
      <c r="D53" s="19" t="s">
        <v>938</v>
      </c>
      <c r="E53" s="74" t="s">
        <v>1001</v>
      </c>
      <c r="F53" s="184"/>
      <c r="G53" s="185">
        <v>2557161800</v>
      </c>
      <c r="H53" s="20">
        <f>H52+Table1[[#This Row],[مبلغ ورود]]-Table1[[#This Row],[مبلغ خروج]]</f>
        <v>51027656232</v>
      </c>
      <c r="I53" s="216"/>
    </row>
    <row r="54" spans="1:9" ht="56.25">
      <c r="A54" s="1">
        <v>51</v>
      </c>
      <c r="B54" s="186" t="s">
        <v>1002</v>
      </c>
      <c r="C54" s="183">
        <v>258668</v>
      </c>
      <c r="D54" s="19" t="s">
        <v>938</v>
      </c>
      <c r="E54" s="74" t="s">
        <v>1003</v>
      </c>
      <c r="F54" s="184"/>
      <c r="G54" s="185">
        <v>567281587</v>
      </c>
      <c r="H54" s="20">
        <f>H53+Table1[[#This Row],[مبلغ ورود]]-Table1[[#This Row],[مبلغ خروج]]</f>
        <v>50460374645</v>
      </c>
      <c r="I54" s="216"/>
    </row>
    <row r="55" spans="1:9" ht="21">
      <c r="A55" s="1">
        <v>52</v>
      </c>
      <c r="B55" s="186" t="s">
        <v>1002</v>
      </c>
      <c r="C55" s="183">
        <v>258669</v>
      </c>
      <c r="D55" s="19" t="s">
        <v>938</v>
      </c>
      <c r="E55" s="74" t="s">
        <v>710</v>
      </c>
      <c r="F55" s="184"/>
      <c r="G55" s="185">
        <v>10000000000</v>
      </c>
      <c r="H55" s="20">
        <f>H54+Table1[[#This Row],[مبلغ ورود]]-Table1[[#This Row],[مبلغ خروج]]</f>
        <v>40460374645</v>
      </c>
      <c r="I55" s="216"/>
    </row>
    <row r="56" spans="1:9" ht="21">
      <c r="A56" s="1">
        <v>53</v>
      </c>
      <c r="B56" s="186"/>
      <c r="C56" s="183">
        <v>258667</v>
      </c>
      <c r="D56" s="19" t="s">
        <v>938</v>
      </c>
      <c r="E56" s="74" t="s">
        <v>626</v>
      </c>
      <c r="F56" s="184"/>
      <c r="G56" s="185"/>
      <c r="H56" s="20">
        <f>H55+Table1[[#This Row],[مبلغ ورود]]-Table1[[#This Row],[مبلغ خروج]]</f>
        <v>40460374645</v>
      </c>
      <c r="I56" s="216"/>
    </row>
    <row r="57" spans="1:9" ht="37.5">
      <c r="A57" s="1">
        <v>54</v>
      </c>
      <c r="B57" s="186" t="s">
        <v>1004</v>
      </c>
      <c r="C57" s="183">
        <v>258671</v>
      </c>
      <c r="D57" s="19" t="s">
        <v>938</v>
      </c>
      <c r="E57" s="74" t="s">
        <v>1005</v>
      </c>
      <c r="F57" s="184"/>
      <c r="G57" s="185">
        <v>2074290000</v>
      </c>
      <c r="H57" s="20">
        <f>H56+Table1[[#This Row],[مبلغ ورود]]-Table1[[#This Row],[مبلغ خروج]]</f>
        <v>38386084645</v>
      </c>
      <c r="I57" s="216"/>
    </row>
    <row r="58" spans="1:9" ht="56.25">
      <c r="A58" s="1">
        <v>55</v>
      </c>
      <c r="B58" s="186" t="s">
        <v>1004</v>
      </c>
      <c r="C58" s="183">
        <v>258672</v>
      </c>
      <c r="D58" s="19" t="s">
        <v>938</v>
      </c>
      <c r="E58" s="74" t="s">
        <v>1006</v>
      </c>
      <c r="F58" s="184"/>
      <c r="G58" s="185">
        <v>18680000</v>
      </c>
      <c r="H58" s="20">
        <f>H57+Table1[[#This Row],[مبلغ ورود]]-Table1[[#This Row],[مبلغ خروج]]</f>
        <v>38367404645</v>
      </c>
      <c r="I58" s="216"/>
    </row>
    <row r="59" spans="1:9" ht="37.5">
      <c r="A59" s="1">
        <v>56</v>
      </c>
      <c r="B59" s="186" t="s">
        <v>1004</v>
      </c>
      <c r="C59" s="183">
        <v>258673</v>
      </c>
      <c r="D59" s="19" t="s">
        <v>938</v>
      </c>
      <c r="E59" s="74" t="s">
        <v>1007</v>
      </c>
      <c r="F59" s="184"/>
      <c r="G59" s="185">
        <v>27667432</v>
      </c>
      <c r="H59" s="20">
        <f>H58+Table1[[#This Row],[مبلغ ورود]]-Table1[[#This Row],[مبلغ خروج]]</f>
        <v>38339737213</v>
      </c>
      <c r="I59" s="216"/>
    </row>
    <row r="60" spans="1:9" ht="37.5">
      <c r="A60" s="1">
        <v>57</v>
      </c>
      <c r="B60" s="186" t="s">
        <v>1004</v>
      </c>
      <c r="C60" s="183">
        <v>258674</v>
      </c>
      <c r="D60" s="19" t="s">
        <v>938</v>
      </c>
      <c r="E60" s="74" t="s">
        <v>1008</v>
      </c>
      <c r="F60" s="184"/>
      <c r="G60" s="185">
        <v>4284535</v>
      </c>
      <c r="H60" s="20">
        <f>H59+Table1[[#This Row],[مبلغ ورود]]-Table1[[#This Row],[مبلغ خروج]]</f>
        <v>38335452678</v>
      </c>
      <c r="I60" s="216"/>
    </row>
    <row r="61" spans="1:9" ht="37.5">
      <c r="A61" s="1">
        <v>58</v>
      </c>
      <c r="B61" s="186" t="s">
        <v>1004</v>
      </c>
      <c r="C61" s="183">
        <v>258675</v>
      </c>
      <c r="D61" s="19" t="s">
        <v>938</v>
      </c>
      <c r="E61" s="74" t="s">
        <v>1009</v>
      </c>
      <c r="F61" s="184"/>
      <c r="G61" s="185">
        <v>545000000</v>
      </c>
      <c r="H61" s="20">
        <f>H60+Table1[[#This Row],[مبلغ ورود]]-Table1[[#This Row],[مبلغ خروج]]</f>
        <v>37790452678</v>
      </c>
      <c r="I61" s="216"/>
    </row>
    <row r="62" spans="1:9" ht="21">
      <c r="A62" s="1">
        <v>59</v>
      </c>
      <c r="B62" s="186" t="s">
        <v>1004</v>
      </c>
      <c r="C62" s="1"/>
      <c r="E62" s="74" t="s">
        <v>971</v>
      </c>
      <c r="F62" s="73">
        <v>2068140086</v>
      </c>
      <c r="H62" s="20">
        <f>H61+Table1[[#This Row],[مبلغ ورود]]-Table1[[#This Row],[مبلغ خروج]]</f>
        <v>39858592764</v>
      </c>
      <c r="I62" s="216"/>
    </row>
    <row r="63" spans="1:9" ht="21">
      <c r="A63" s="1">
        <v>60</v>
      </c>
      <c r="B63" s="186" t="s">
        <v>1010</v>
      </c>
      <c r="C63" s="183">
        <v>258676</v>
      </c>
      <c r="D63" s="19" t="s">
        <v>938</v>
      </c>
      <c r="E63" s="74" t="s">
        <v>710</v>
      </c>
      <c r="F63" s="184"/>
      <c r="G63" s="185">
        <v>12000000000</v>
      </c>
      <c r="H63" s="20">
        <f>H62+Table1[[#This Row],[مبلغ ورود]]-Table1[[#This Row],[مبلغ خروج]]</f>
        <v>27858592764</v>
      </c>
      <c r="I63" s="216"/>
    </row>
    <row r="64" spans="1:9" ht="56.25">
      <c r="A64" s="1">
        <v>61</v>
      </c>
      <c r="B64" s="186" t="s">
        <v>1010</v>
      </c>
      <c r="C64" s="1">
        <v>258677</v>
      </c>
      <c r="D64" s="19" t="s">
        <v>938</v>
      </c>
      <c r="E64" s="175" t="s">
        <v>1011</v>
      </c>
      <c r="G64" s="20">
        <v>3520089400</v>
      </c>
      <c r="H64" s="20">
        <f>H63+Table1[[#This Row],[مبلغ ورود]]-Table1[[#This Row],[مبلغ خروج]]</f>
        <v>24338503364</v>
      </c>
      <c r="I64" s="216"/>
    </row>
    <row r="65" spans="1:9" ht="56.25">
      <c r="A65" s="1">
        <v>62</v>
      </c>
      <c r="B65" s="186" t="s">
        <v>1010</v>
      </c>
      <c r="C65" s="1">
        <v>258678</v>
      </c>
      <c r="D65" s="19" t="s">
        <v>938</v>
      </c>
      <c r="E65" s="74" t="s">
        <v>1012</v>
      </c>
      <c r="G65" s="20">
        <v>64310394</v>
      </c>
      <c r="H65" s="20">
        <f>H64+Table1[[#This Row],[مبلغ ورود]]-Table1[[#This Row],[مبلغ خروج]]</f>
        <v>24274192970</v>
      </c>
      <c r="I65" s="216"/>
    </row>
    <row r="66" spans="1:9" ht="21">
      <c r="A66" s="1">
        <v>63</v>
      </c>
      <c r="B66" s="186" t="s">
        <v>1018</v>
      </c>
      <c r="C66" s="1"/>
      <c r="E66" s="74" t="s">
        <v>1017</v>
      </c>
      <c r="F66" s="73">
        <v>33075000000</v>
      </c>
      <c r="H66" s="20">
        <f>H65+Table1[[#This Row],[مبلغ ورود]]-Table1[[#This Row],[مبلغ خروج]]</f>
        <v>57349192970</v>
      </c>
      <c r="I66" s="216"/>
    </row>
    <row r="67" spans="1:9" ht="37.5">
      <c r="A67" s="1">
        <v>64</v>
      </c>
      <c r="B67" s="186" t="s">
        <v>1013</v>
      </c>
      <c r="C67" s="1">
        <v>258679</v>
      </c>
      <c r="D67" s="19" t="s">
        <v>938</v>
      </c>
      <c r="E67" s="74" t="s">
        <v>1014</v>
      </c>
      <c r="G67" s="20">
        <v>77304000</v>
      </c>
      <c r="H67" s="20">
        <f>H66+Table1[[#This Row],[مبلغ ورود]]-Table1[[#This Row],[مبلغ خروج]]</f>
        <v>57271888970</v>
      </c>
      <c r="I67" s="216"/>
    </row>
    <row r="68" spans="1:9" ht="21">
      <c r="A68" s="1">
        <v>65</v>
      </c>
      <c r="B68" s="186" t="s">
        <v>1013</v>
      </c>
      <c r="C68" s="1">
        <v>258680</v>
      </c>
      <c r="D68" s="19" t="s">
        <v>938</v>
      </c>
      <c r="E68" s="74" t="s">
        <v>710</v>
      </c>
      <c r="G68" s="20">
        <v>2000000000</v>
      </c>
      <c r="H68" s="20">
        <f>H67+Table1[[#This Row],[مبلغ ورود]]-Table1[[#This Row],[مبلغ خروج]]</f>
        <v>55271888970</v>
      </c>
      <c r="I68" s="216"/>
    </row>
    <row r="69" spans="1:9" ht="56.25">
      <c r="A69" s="1">
        <v>66</v>
      </c>
      <c r="B69" s="186" t="s">
        <v>1013</v>
      </c>
      <c r="C69" s="1">
        <v>258681</v>
      </c>
      <c r="D69" s="19" t="s">
        <v>938</v>
      </c>
      <c r="E69" s="74" t="s">
        <v>1015</v>
      </c>
      <c r="G69" s="20">
        <v>58064000</v>
      </c>
      <c r="H69" s="20">
        <f>H68+Table1[[#This Row],[مبلغ ورود]]-Table1[[#This Row],[مبلغ خروج]]</f>
        <v>55213824970</v>
      </c>
      <c r="I69" s="216"/>
    </row>
    <row r="70" spans="1:9" ht="37.5">
      <c r="A70" s="1">
        <v>67</v>
      </c>
      <c r="B70" s="186" t="s">
        <v>1013</v>
      </c>
      <c r="C70" s="1">
        <v>258682</v>
      </c>
      <c r="D70" s="19" t="s">
        <v>938</v>
      </c>
      <c r="E70" s="74" t="s">
        <v>793</v>
      </c>
      <c r="G70" s="20">
        <v>10000000000</v>
      </c>
      <c r="H70" s="20">
        <f>H69+Table1[[#This Row],[مبلغ ورود]]-Table1[[#This Row],[مبلغ خروج]]</f>
        <v>45213824970</v>
      </c>
      <c r="I70" s="216"/>
    </row>
    <row r="71" spans="1:9" ht="37.5">
      <c r="A71" s="1">
        <v>68</v>
      </c>
      <c r="B71" s="186" t="s">
        <v>1016</v>
      </c>
      <c r="C71" s="1">
        <v>258683</v>
      </c>
      <c r="D71" s="19" t="s">
        <v>938</v>
      </c>
      <c r="E71" s="74" t="s">
        <v>793</v>
      </c>
      <c r="G71" s="20">
        <v>5000000000</v>
      </c>
      <c r="H71" s="20">
        <f>H70+Table1[[#This Row],[مبلغ ورود]]-Table1[[#This Row],[مبلغ خروج]]</f>
        <v>40213824970</v>
      </c>
      <c r="I71" s="216"/>
    </row>
    <row r="72" spans="1:9" ht="21">
      <c r="A72" s="1">
        <v>69</v>
      </c>
      <c r="B72" s="186" t="s">
        <v>1020</v>
      </c>
      <c r="C72" s="1"/>
      <c r="E72" s="151" t="s">
        <v>1052</v>
      </c>
      <c r="F72" s="73">
        <v>10000000000</v>
      </c>
      <c r="H72" s="20">
        <f>H71+Table1[[#This Row],[مبلغ ورود]]-Table1[[#This Row],[مبلغ خروج]]</f>
        <v>50213824970</v>
      </c>
      <c r="I72" s="216"/>
    </row>
    <row r="73" spans="1:9" ht="56.25">
      <c r="A73" s="1">
        <v>70</v>
      </c>
      <c r="B73" s="186" t="s">
        <v>1020</v>
      </c>
      <c r="C73" s="1">
        <v>258684</v>
      </c>
      <c r="D73" s="19" t="s">
        <v>938</v>
      </c>
      <c r="E73" s="74" t="s">
        <v>1021</v>
      </c>
      <c r="G73" s="20">
        <v>173746000</v>
      </c>
      <c r="H73" s="20">
        <f>H72+Table1[[#This Row],[مبلغ ورود]]-Table1[[#This Row],[مبلغ خروج]]</f>
        <v>50040078970</v>
      </c>
      <c r="I73" s="216"/>
    </row>
    <row r="74" spans="1:9" ht="56.25">
      <c r="A74" s="1">
        <v>71</v>
      </c>
      <c r="B74" s="186" t="s">
        <v>1020</v>
      </c>
      <c r="C74" s="1">
        <v>258685</v>
      </c>
      <c r="D74" s="19" t="s">
        <v>938</v>
      </c>
      <c r="E74" s="74" t="s">
        <v>1024</v>
      </c>
      <c r="G74" s="20">
        <f>85950850+14889170</f>
        <v>100840020</v>
      </c>
      <c r="H74" s="20">
        <f>H73+Table1[[#This Row],[مبلغ ورود]]-Table1[[#This Row],[مبلغ خروج]]</f>
        <v>49939238950</v>
      </c>
      <c r="I74" s="216"/>
    </row>
    <row r="75" spans="1:9" ht="37.5">
      <c r="A75" s="1">
        <v>72</v>
      </c>
      <c r="B75" s="186" t="s">
        <v>1022</v>
      </c>
      <c r="C75" s="1">
        <v>258686</v>
      </c>
      <c r="D75" s="19" t="s">
        <v>938</v>
      </c>
      <c r="E75" s="74" t="s">
        <v>1023</v>
      </c>
      <c r="G75" s="20">
        <v>1948356900</v>
      </c>
      <c r="H75" s="20">
        <f>H74+Table1[[#This Row],[مبلغ ورود]]-Table1[[#This Row],[مبلغ خروج]]</f>
        <v>47990882050</v>
      </c>
      <c r="I75" s="216"/>
    </row>
    <row r="76" spans="1:9" ht="37.5">
      <c r="A76" s="1">
        <v>73</v>
      </c>
      <c r="B76" s="186" t="s">
        <v>1022</v>
      </c>
      <c r="C76" s="1">
        <v>258687</v>
      </c>
      <c r="D76" s="19" t="s">
        <v>938</v>
      </c>
      <c r="E76" s="74" t="s">
        <v>1025</v>
      </c>
      <c r="G76" s="20">
        <v>16787977</v>
      </c>
      <c r="H76" s="20">
        <f>H75+Table1[[#This Row],[مبلغ ورود]]-Table1[[#This Row],[مبلغ خروج]]</f>
        <v>47974094073</v>
      </c>
      <c r="I76" s="216"/>
    </row>
    <row r="77" spans="1:9" ht="37.5">
      <c r="A77" s="1">
        <v>74</v>
      </c>
      <c r="B77" s="186" t="s">
        <v>1027</v>
      </c>
      <c r="C77" s="1">
        <v>258688</v>
      </c>
      <c r="D77" s="19" t="s">
        <v>938</v>
      </c>
      <c r="E77" s="74" t="s">
        <v>1026</v>
      </c>
      <c r="G77" s="20">
        <v>500000000</v>
      </c>
      <c r="H77" s="20">
        <f>H76+Table1[[#This Row],[مبلغ ورود]]-Table1[[#This Row],[مبلغ خروج]]</f>
        <v>47474094073</v>
      </c>
      <c r="I77" s="216"/>
    </row>
    <row r="78" spans="1:9" ht="21">
      <c r="A78" s="1">
        <v>75</v>
      </c>
      <c r="B78" s="186" t="s">
        <v>1028</v>
      </c>
      <c r="C78" s="1">
        <v>258689</v>
      </c>
      <c r="D78" s="19" t="s">
        <v>938</v>
      </c>
      <c r="E78" s="74" t="s">
        <v>710</v>
      </c>
      <c r="G78" s="20">
        <v>5000000000</v>
      </c>
      <c r="H78" s="20">
        <f>H77+Table1[[#This Row],[مبلغ ورود]]-Table1[[#This Row],[مبلغ خروج]]</f>
        <v>42474094073</v>
      </c>
      <c r="I78" s="216"/>
    </row>
    <row r="79" spans="1:9" ht="56.25">
      <c r="A79" s="1">
        <v>76</v>
      </c>
      <c r="B79" s="186" t="s">
        <v>1028</v>
      </c>
      <c r="C79" s="1">
        <v>258690</v>
      </c>
      <c r="D79" s="19" t="s">
        <v>938</v>
      </c>
      <c r="E79" s="74" t="s">
        <v>1029</v>
      </c>
      <c r="G79" s="20">
        <v>4584812064</v>
      </c>
      <c r="H79" s="20">
        <f>H78+Table1[[#This Row],[مبلغ ورود]]-Table1[[#This Row],[مبلغ خروج]]</f>
        <v>37889282009</v>
      </c>
      <c r="I79" s="216"/>
    </row>
    <row r="80" spans="1:9" ht="37.5">
      <c r="A80" s="1">
        <v>77</v>
      </c>
      <c r="B80" s="186" t="s">
        <v>1028</v>
      </c>
      <c r="C80" s="1">
        <v>258691</v>
      </c>
      <c r="D80" s="19" t="s">
        <v>938</v>
      </c>
      <c r="E80" s="74" t="s">
        <v>1030</v>
      </c>
      <c r="G80" s="20">
        <v>20463660</v>
      </c>
      <c r="H80" s="20">
        <f>H79+Table1[[#This Row],[مبلغ ورود]]-Table1[[#This Row],[مبلغ خروج]]</f>
        <v>37868818349</v>
      </c>
      <c r="I80" s="216"/>
    </row>
    <row r="81" spans="1:9" ht="37.5">
      <c r="A81" s="1">
        <v>78</v>
      </c>
      <c r="B81" s="186" t="s">
        <v>1032</v>
      </c>
      <c r="C81" s="1">
        <v>258692</v>
      </c>
      <c r="D81" s="19" t="s">
        <v>938</v>
      </c>
      <c r="E81" s="74" t="s">
        <v>1031</v>
      </c>
      <c r="G81" s="20">
        <v>10000000000</v>
      </c>
      <c r="H81" s="20">
        <f>H80+Table1[[#This Row],[مبلغ ورود]]-Table1[[#This Row],[مبلغ خروج]]</f>
        <v>27868818349</v>
      </c>
      <c r="I81" s="216"/>
    </row>
    <row r="82" spans="1:9" ht="21">
      <c r="A82" s="1">
        <v>79</v>
      </c>
      <c r="B82" s="186" t="s">
        <v>1032</v>
      </c>
      <c r="C82" s="1">
        <v>258693</v>
      </c>
      <c r="D82" s="19" t="s">
        <v>938</v>
      </c>
      <c r="E82" s="74" t="s">
        <v>710</v>
      </c>
      <c r="G82" s="20">
        <v>2000000000</v>
      </c>
      <c r="H82" s="20">
        <f>H81+Table1[[#This Row],[مبلغ ورود]]-Table1[[#This Row],[مبلغ خروج]]</f>
        <v>25868818349</v>
      </c>
      <c r="I82" s="216"/>
    </row>
    <row r="83" spans="1:9" ht="56.25">
      <c r="A83" s="1">
        <v>80</v>
      </c>
      <c r="B83" s="186" t="s">
        <v>665</v>
      </c>
      <c r="C83" s="1">
        <v>258694</v>
      </c>
      <c r="D83" s="19" t="s">
        <v>938</v>
      </c>
      <c r="E83" s="74" t="s">
        <v>1033</v>
      </c>
      <c r="G83" s="20">
        <v>3551944800</v>
      </c>
      <c r="H83" s="20">
        <f>H82+Table1[[#This Row],[مبلغ ورود]]-Table1[[#This Row],[مبلغ خروج]]</f>
        <v>22316873549</v>
      </c>
      <c r="I83" s="216"/>
    </row>
    <row r="84" spans="1:9" ht="56.25">
      <c r="A84" s="1">
        <v>81</v>
      </c>
      <c r="B84" s="186" t="s">
        <v>665</v>
      </c>
      <c r="C84" s="1">
        <v>258695</v>
      </c>
      <c r="D84" s="19" t="s">
        <v>938</v>
      </c>
      <c r="E84" s="74" t="s">
        <v>1034</v>
      </c>
      <c r="G84" s="20">
        <v>96000000</v>
      </c>
      <c r="H84" s="20">
        <f>H83+Table1[[#This Row],[مبلغ ورود]]-Table1[[#This Row],[مبلغ خروج]]</f>
        <v>22220873549</v>
      </c>
      <c r="I84" s="216"/>
    </row>
    <row r="85" spans="1:9" ht="56.25">
      <c r="A85" s="1">
        <v>82</v>
      </c>
      <c r="B85" s="186" t="s">
        <v>665</v>
      </c>
      <c r="C85" s="1">
        <v>258696</v>
      </c>
      <c r="D85" s="19" t="s">
        <v>938</v>
      </c>
      <c r="E85" s="74" t="s">
        <v>1035</v>
      </c>
      <c r="G85" s="20">
        <f>118400000+167733462</f>
        <v>286133462</v>
      </c>
      <c r="H85" s="20">
        <f>H84+Table1[[#This Row],[مبلغ ورود]]-Table1[[#This Row],[مبلغ خروج]]</f>
        <v>21934740087</v>
      </c>
      <c r="I85" s="216"/>
    </row>
    <row r="86" spans="1:9" ht="21">
      <c r="A86" s="1">
        <v>83</v>
      </c>
      <c r="B86" s="186" t="s">
        <v>1036</v>
      </c>
      <c r="C86" s="1"/>
      <c r="E86" s="151" t="s">
        <v>1051</v>
      </c>
      <c r="F86" s="73">
        <v>5000000000</v>
      </c>
      <c r="H86" s="20">
        <f>H85+Table1[[#This Row],[مبلغ ورود]]-Table1[[#This Row],[مبلغ خروج]]</f>
        <v>26934740087</v>
      </c>
      <c r="I86" s="216"/>
    </row>
    <row r="87" spans="1:9" ht="56.25">
      <c r="A87" s="1">
        <v>84</v>
      </c>
      <c r="B87" s="186" t="s">
        <v>1036</v>
      </c>
      <c r="C87" s="1">
        <v>258697</v>
      </c>
      <c r="D87" s="19" t="s">
        <v>938</v>
      </c>
      <c r="E87" s="74" t="s">
        <v>1037</v>
      </c>
      <c r="G87" s="20">
        <v>1528917712</v>
      </c>
      <c r="H87" s="20">
        <f>H86+Table1[[#This Row],[مبلغ ورود]]-Table1[[#This Row],[مبلغ خروج]]</f>
        <v>25405822375</v>
      </c>
      <c r="I87" s="216"/>
    </row>
    <row r="88" spans="1:9" ht="37.5">
      <c r="A88" s="1">
        <v>85</v>
      </c>
      <c r="B88" s="186" t="s">
        <v>1038</v>
      </c>
      <c r="C88" s="1">
        <v>258698</v>
      </c>
      <c r="D88" s="19" t="s">
        <v>938</v>
      </c>
      <c r="E88" s="74" t="s">
        <v>1039</v>
      </c>
      <c r="G88" s="20">
        <v>58466000</v>
      </c>
      <c r="H88" s="20">
        <f>H87+Table1[[#This Row],[مبلغ ورود]]-Table1[[#This Row],[مبلغ خروج]]</f>
        <v>25347356375</v>
      </c>
      <c r="I88" s="216"/>
    </row>
    <row r="89" spans="1:9" ht="56.25">
      <c r="A89" s="1">
        <v>86</v>
      </c>
      <c r="B89" s="186" t="s">
        <v>1040</v>
      </c>
      <c r="C89" s="1">
        <v>258699</v>
      </c>
      <c r="D89" s="19" t="s">
        <v>938</v>
      </c>
      <c r="E89" s="74" t="s">
        <v>1042</v>
      </c>
      <c r="G89" s="20">
        <v>89150000</v>
      </c>
      <c r="H89" s="20">
        <f>H88+Table1[[#This Row],[مبلغ ورود]]-Table1[[#This Row],[مبلغ خروج]]</f>
        <v>25258206375</v>
      </c>
      <c r="I89" s="216"/>
    </row>
    <row r="90" spans="1:9" ht="37.5">
      <c r="A90" s="1">
        <v>87</v>
      </c>
      <c r="B90" s="186" t="s">
        <v>1040</v>
      </c>
      <c r="C90" s="1">
        <v>258700</v>
      </c>
      <c r="D90" s="19" t="s">
        <v>938</v>
      </c>
      <c r="E90" s="74" t="s">
        <v>1041</v>
      </c>
      <c r="G90" s="20">
        <v>439270000</v>
      </c>
      <c r="H90" s="20">
        <f>H89+Table1[[#This Row],[مبلغ ورود]]-Table1[[#This Row],[مبلغ خروج]]</f>
        <v>24818936375</v>
      </c>
      <c r="I90" s="216"/>
    </row>
    <row r="91" spans="1:9" ht="21">
      <c r="A91" s="1">
        <v>88</v>
      </c>
      <c r="B91" s="186" t="s">
        <v>1043</v>
      </c>
      <c r="C91" s="1"/>
      <c r="E91" s="151" t="s">
        <v>1049</v>
      </c>
      <c r="F91" s="73">
        <v>175091902</v>
      </c>
      <c r="H91" s="20">
        <f>H90+Table1[[#This Row],[مبلغ ورود]]-Table1[[#This Row],[مبلغ خروج]]</f>
        <v>24994028277</v>
      </c>
      <c r="I91" s="216"/>
    </row>
    <row r="92" spans="1:9" ht="21">
      <c r="A92" s="1">
        <v>89</v>
      </c>
      <c r="B92" s="186" t="s">
        <v>1043</v>
      </c>
      <c r="C92" s="1">
        <v>479451</v>
      </c>
      <c r="D92" s="19" t="s">
        <v>938</v>
      </c>
      <c r="E92" s="74" t="s">
        <v>710</v>
      </c>
      <c r="G92" s="20">
        <v>5000000000</v>
      </c>
      <c r="H92" s="20">
        <f>H91+Table1[[#This Row],[مبلغ ورود]]-Table1[[#This Row],[مبلغ خروج]]</f>
        <v>19994028277</v>
      </c>
      <c r="I92" s="216"/>
    </row>
    <row r="93" spans="1:9" ht="21">
      <c r="A93" s="1">
        <v>90</v>
      </c>
      <c r="B93" s="186" t="s">
        <v>1044</v>
      </c>
      <c r="C93" s="1"/>
      <c r="E93" s="151" t="s">
        <v>1050</v>
      </c>
      <c r="F93" s="73">
        <v>9900000000</v>
      </c>
      <c r="H93" s="20">
        <f>H92+Table1[[#This Row],[مبلغ ورود]]-Table1[[#This Row],[مبلغ خروج]]</f>
        <v>29894028277</v>
      </c>
      <c r="I93" s="216"/>
    </row>
    <row r="94" spans="1:9" ht="21">
      <c r="A94" s="1">
        <v>91</v>
      </c>
      <c r="B94" s="186" t="s">
        <v>1044</v>
      </c>
      <c r="C94" s="1">
        <v>479452</v>
      </c>
      <c r="D94" s="19" t="s">
        <v>938</v>
      </c>
      <c r="E94" s="74" t="s">
        <v>710</v>
      </c>
      <c r="G94" s="20">
        <v>16000000000</v>
      </c>
      <c r="H94" s="20">
        <f>H93+Table1[[#This Row],[مبلغ ورود]]-Table1[[#This Row],[مبلغ خروج]]</f>
        <v>13894028277</v>
      </c>
      <c r="I94" s="216"/>
    </row>
    <row r="95" spans="1:9" ht="37.5">
      <c r="A95" s="1">
        <v>92</v>
      </c>
      <c r="B95" s="186" t="s">
        <v>1044</v>
      </c>
      <c r="C95" s="1">
        <v>479453</v>
      </c>
      <c r="D95" s="19" t="s">
        <v>938</v>
      </c>
      <c r="E95" s="74" t="s">
        <v>1045</v>
      </c>
      <c r="G95" s="20">
        <v>2429561680</v>
      </c>
      <c r="H95" s="20">
        <f>H94+Table1[[#This Row],[مبلغ ورود]]-Table1[[#This Row],[مبلغ خروج]]</f>
        <v>11464466597</v>
      </c>
      <c r="I95" s="216"/>
    </row>
    <row r="96" spans="1:9" ht="37.5">
      <c r="A96" s="1">
        <v>93</v>
      </c>
      <c r="B96" s="186" t="s">
        <v>1044</v>
      </c>
      <c r="C96" s="1">
        <v>479454</v>
      </c>
      <c r="D96" s="19" t="s">
        <v>938</v>
      </c>
      <c r="E96" s="74" t="s">
        <v>1046</v>
      </c>
      <c r="G96" s="20">
        <v>777874925</v>
      </c>
      <c r="H96" s="20">
        <f>H95+Table1[[#This Row],[مبلغ ورود]]-Table1[[#This Row],[مبلغ خروج]]</f>
        <v>10686591672</v>
      </c>
      <c r="I96" s="216"/>
    </row>
    <row r="97" spans="1:9" ht="37.5">
      <c r="A97" s="1">
        <v>94</v>
      </c>
      <c r="B97" s="186" t="s">
        <v>1044</v>
      </c>
      <c r="C97" s="1">
        <v>479455</v>
      </c>
      <c r="D97" s="19" t="s">
        <v>938</v>
      </c>
      <c r="E97" s="74" t="s">
        <v>1047</v>
      </c>
      <c r="G97" s="20">
        <v>768922461</v>
      </c>
      <c r="H97" s="20">
        <f>H96+Table1[[#This Row],[مبلغ ورود]]-Table1[[#This Row],[مبلغ خروج]]</f>
        <v>9917669211</v>
      </c>
      <c r="I97" s="216"/>
    </row>
    <row r="98" spans="1:9" ht="37.5">
      <c r="A98" s="1">
        <v>95</v>
      </c>
      <c r="B98" s="186" t="s">
        <v>1044</v>
      </c>
      <c r="C98" s="1">
        <v>479456</v>
      </c>
      <c r="D98" s="19" t="s">
        <v>938</v>
      </c>
      <c r="E98" s="151" t="s">
        <v>1048</v>
      </c>
      <c r="G98" s="20">
        <v>3000000000</v>
      </c>
      <c r="H98" s="20">
        <f>H97+Table1[[#This Row],[مبلغ ورود]]-Table1[[#This Row],[مبلغ خروج]]</f>
        <v>6917669211</v>
      </c>
      <c r="I98" s="216"/>
    </row>
    <row r="99" spans="1:9" ht="21">
      <c r="A99" s="1">
        <v>96</v>
      </c>
      <c r="B99" s="186" t="s">
        <v>1053</v>
      </c>
      <c r="C99" s="1"/>
      <c r="E99" s="151" t="s">
        <v>1054</v>
      </c>
      <c r="F99" s="73">
        <v>10000000000</v>
      </c>
      <c r="H99" s="20">
        <f>H98+Table1[[#This Row],[مبلغ ورود]]-Table1[[#This Row],[مبلغ خروج]]</f>
        <v>16917669211</v>
      </c>
      <c r="I99" s="216"/>
    </row>
    <row r="100" spans="1:9" ht="56.25">
      <c r="A100" s="1">
        <v>97</v>
      </c>
      <c r="B100" s="186" t="s">
        <v>1053</v>
      </c>
      <c r="C100" s="1">
        <v>479457</v>
      </c>
      <c r="D100" s="19" t="s">
        <v>938</v>
      </c>
      <c r="E100" s="74" t="s">
        <v>1056</v>
      </c>
      <c r="G100" s="20">
        <v>345862080</v>
      </c>
      <c r="H100" s="20">
        <f>H99+Table1[[#This Row],[مبلغ ورود]]-Table1[[#This Row],[مبلغ خروج]]</f>
        <v>16571807131</v>
      </c>
      <c r="I100" s="216"/>
    </row>
    <row r="101" spans="1:9" ht="37.5">
      <c r="A101" s="1">
        <v>98</v>
      </c>
      <c r="B101" s="186" t="s">
        <v>1053</v>
      </c>
      <c r="C101" s="1">
        <v>479458</v>
      </c>
      <c r="D101" s="19" t="s">
        <v>938</v>
      </c>
      <c r="E101" s="74" t="s">
        <v>1055</v>
      </c>
      <c r="G101" s="20">
        <v>48486080</v>
      </c>
      <c r="H101" s="20">
        <f>H100+Table1[[#This Row],[مبلغ ورود]]-Table1[[#This Row],[مبلغ خروج]]</f>
        <v>16523321051</v>
      </c>
      <c r="I101" s="216"/>
    </row>
    <row r="102" spans="1:9" ht="37.5">
      <c r="A102" s="1">
        <v>99</v>
      </c>
      <c r="B102" s="186" t="s">
        <v>1053</v>
      </c>
      <c r="C102" s="1">
        <v>479459</v>
      </c>
      <c r="D102" s="19" t="s">
        <v>938</v>
      </c>
      <c r="E102" s="74" t="s">
        <v>1057</v>
      </c>
      <c r="G102" s="20">
        <v>5013385676</v>
      </c>
      <c r="H102" s="20">
        <f>H101+Table1[[#This Row],[مبلغ ورود]]-Table1[[#This Row],[مبلغ خروج]]</f>
        <v>11509935375</v>
      </c>
      <c r="I102" s="216"/>
    </row>
    <row r="103" spans="1:9" ht="56.25">
      <c r="A103" s="1">
        <v>100</v>
      </c>
      <c r="B103" s="186" t="s">
        <v>1053</v>
      </c>
      <c r="C103" s="1">
        <v>479460</v>
      </c>
      <c r="D103" s="19" t="s">
        <v>938</v>
      </c>
      <c r="E103" s="74" t="s">
        <v>1058</v>
      </c>
      <c r="G103" s="20">
        <v>143923227</v>
      </c>
      <c r="H103" s="20">
        <f>H102+Table1[[#This Row],[مبلغ ورود]]-Table1[[#This Row],[مبلغ خروج]]</f>
        <v>11366012148</v>
      </c>
      <c r="I103" s="216"/>
    </row>
    <row r="104" spans="1:9" ht="56.25">
      <c r="A104" s="1">
        <v>101</v>
      </c>
      <c r="B104" s="186" t="s">
        <v>1059</v>
      </c>
      <c r="C104" s="1">
        <v>479461</v>
      </c>
      <c r="D104" s="19" t="s">
        <v>938</v>
      </c>
      <c r="E104" s="74" t="s">
        <v>1060</v>
      </c>
      <c r="G104" s="20">
        <v>75079440</v>
      </c>
      <c r="H104" s="20">
        <f>H103+Table1[[#This Row],[مبلغ ورود]]-Table1[[#This Row],[مبلغ خروج]]</f>
        <v>11290932708</v>
      </c>
      <c r="I104" s="216"/>
    </row>
    <row r="105" spans="1:9" ht="21">
      <c r="A105" s="1">
        <v>102</v>
      </c>
      <c r="B105" s="186" t="s">
        <v>1059</v>
      </c>
      <c r="C105" s="1"/>
      <c r="D105" s="19" t="s">
        <v>938</v>
      </c>
      <c r="E105" s="74" t="s">
        <v>1067</v>
      </c>
      <c r="F105" s="73">
        <v>40000000000</v>
      </c>
      <c r="H105" s="20">
        <f>H104+Table1[[#This Row],[مبلغ ورود]]-Table1[[#This Row],[مبلغ خروج]]</f>
        <v>51290932708</v>
      </c>
      <c r="I105" s="216"/>
    </row>
    <row r="106" spans="1:9" ht="21">
      <c r="A106" s="1">
        <v>103</v>
      </c>
      <c r="B106" s="186" t="s">
        <v>1059</v>
      </c>
      <c r="C106" s="1"/>
      <c r="D106" s="19" t="s">
        <v>938</v>
      </c>
      <c r="E106" s="74" t="s">
        <v>1068</v>
      </c>
      <c r="F106" s="73">
        <v>3700000000</v>
      </c>
      <c r="H106" s="20">
        <f>H105+Table1[[#This Row],[مبلغ ورود]]-Table1[[#This Row],[مبلغ خروج]]</f>
        <v>54990932708</v>
      </c>
      <c r="I106" s="216"/>
    </row>
    <row r="107" spans="1:9" ht="37.5">
      <c r="A107" s="1">
        <v>104</v>
      </c>
      <c r="B107" s="186" t="s">
        <v>1065</v>
      </c>
      <c r="C107" s="1">
        <v>479462</v>
      </c>
      <c r="D107" s="19" t="s">
        <v>938</v>
      </c>
      <c r="E107" s="74" t="s">
        <v>1061</v>
      </c>
      <c r="G107" s="20">
        <v>2006995000</v>
      </c>
      <c r="H107" s="20">
        <f>H106+Table1[[#This Row],[مبلغ ورود]]-Table1[[#This Row],[مبلغ خروج]]</f>
        <v>52983937708</v>
      </c>
      <c r="I107" s="216"/>
    </row>
    <row r="108" spans="1:9" ht="37.5">
      <c r="A108" s="1">
        <v>105</v>
      </c>
      <c r="B108" s="186" t="s">
        <v>1065</v>
      </c>
      <c r="C108" s="1">
        <v>479463</v>
      </c>
      <c r="D108" s="19" t="s">
        <v>938</v>
      </c>
      <c r="E108" s="74" t="s">
        <v>1062</v>
      </c>
      <c r="G108" s="20">
        <v>7469600000</v>
      </c>
      <c r="H108" s="20">
        <f>H107+Table1[[#This Row],[مبلغ ورود]]-Table1[[#This Row],[مبلغ خروج]]</f>
        <v>45514337708</v>
      </c>
      <c r="I108" s="216"/>
    </row>
    <row r="109" spans="1:9" ht="56.25">
      <c r="A109" s="1">
        <v>106</v>
      </c>
      <c r="B109" s="186" t="s">
        <v>1065</v>
      </c>
      <c r="C109" s="1">
        <v>479464</v>
      </c>
      <c r="D109" s="19" t="s">
        <v>938</v>
      </c>
      <c r="E109" s="74" t="s">
        <v>1063</v>
      </c>
      <c r="G109" s="20">
        <v>390473320</v>
      </c>
      <c r="H109" s="20">
        <f>H108+Table1[[#This Row],[مبلغ ورود]]-Table1[[#This Row],[مبلغ خروج]]</f>
        <v>45123864388</v>
      </c>
      <c r="I109" s="216"/>
    </row>
    <row r="110" spans="1:9" ht="37.5">
      <c r="A110" s="1">
        <v>107</v>
      </c>
      <c r="B110" s="186" t="s">
        <v>1065</v>
      </c>
      <c r="C110" s="1">
        <v>479465</v>
      </c>
      <c r="D110" s="19" t="s">
        <v>938</v>
      </c>
      <c r="E110" s="74" t="s">
        <v>1064</v>
      </c>
      <c r="G110" s="20">
        <v>220438338</v>
      </c>
      <c r="H110" s="20">
        <f>H109+Table1[[#This Row],[مبلغ ورود]]-Table1[[#This Row],[مبلغ خروج]]</f>
        <v>44903426050</v>
      </c>
      <c r="I110" s="216"/>
    </row>
    <row r="111" spans="1:9" ht="56.25">
      <c r="A111" s="1">
        <v>108</v>
      </c>
      <c r="B111" s="186" t="s">
        <v>1065</v>
      </c>
      <c r="C111" s="1">
        <v>479466</v>
      </c>
      <c r="D111" s="19" t="s">
        <v>938</v>
      </c>
      <c r="E111" s="74" t="s">
        <v>1066</v>
      </c>
      <c r="G111" s="20">
        <v>352722136</v>
      </c>
      <c r="H111" s="20">
        <f>H110+Table1[[#This Row],[مبلغ ورود]]-Table1[[#This Row],[مبلغ خروج]]</f>
        <v>44550703914</v>
      </c>
      <c r="I111" s="216"/>
    </row>
    <row r="112" spans="1:9" ht="56.25">
      <c r="A112" s="1">
        <v>109</v>
      </c>
      <c r="B112" s="186" t="s">
        <v>1065</v>
      </c>
      <c r="C112" s="1">
        <v>479467</v>
      </c>
      <c r="D112" s="19" t="s">
        <v>938</v>
      </c>
      <c r="E112" s="74" t="s">
        <v>1069</v>
      </c>
      <c r="G112" s="20">
        <v>500000000</v>
      </c>
      <c r="H112" s="20">
        <f>H111+Table1[[#This Row],[مبلغ ورود]]-Table1[[#This Row],[مبلغ خروج]]</f>
        <v>44050703914</v>
      </c>
      <c r="I112" s="216"/>
    </row>
    <row r="113" spans="1:9" ht="56.25">
      <c r="A113" s="1">
        <v>110</v>
      </c>
      <c r="B113" s="186" t="s">
        <v>1065</v>
      </c>
      <c r="C113" s="1">
        <v>479468</v>
      </c>
      <c r="D113" s="19" t="s">
        <v>938</v>
      </c>
      <c r="E113" s="74" t="s">
        <v>1070</v>
      </c>
      <c r="G113" s="20">
        <v>62694984</v>
      </c>
      <c r="H113" s="20">
        <f>H112+Table1[[#This Row],[مبلغ ورود]]-Table1[[#This Row],[مبلغ خروج]]</f>
        <v>43988008930</v>
      </c>
      <c r="I113" s="216"/>
    </row>
    <row r="114" spans="1:9" ht="56.25">
      <c r="A114" s="1">
        <v>111</v>
      </c>
      <c r="B114" s="186" t="s">
        <v>1065</v>
      </c>
      <c r="C114" s="1">
        <v>479469</v>
      </c>
      <c r="D114" s="19" t="s">
        <v>938</v>
      </c>
      <c r="E114" s="74" t="s">
        <v>1071</v>
      </c>
      <c r="G114" s="20">
        <v>100000000</v>
      </c>
      <c r="H114" s="20">
        <f>H113+Table1[[#This Row],[مبلغ ورود]]-Table1[[#This Row],[مبلغ خروج]]</f>
        <v>43888008930</v>
      </c>
      <c r="I114" s="216"/>
    </row>
    <row r="115" spans="1:9" ht="21">
      <c r="A115" s="1">
        <v>112</v>
      </c>
      <c r="B115" s="186" t="s">
        <v>1065</v>
      </c>
      <c r="C115" s="1">
        <v>479470</v>
      </c>
      <c r="D115" s="19" t="s">
        <v>938</v>
      </c>
      <c r="E115" s="74" t="s">
        <v>710</v>
      </c>
      <c r="G115" s="20">
        <v>10000000000</v>
      </c>
      <c r="H115" s="20">
        <f>H114+Table1[[#This Row],[مبلغ ورود]]-Table1[[#This Row],[مبلغ خروج]]</f>
        <v>33888008930</v>
      </c>
      <c r="I115" s="216"/>
    </row>
    <row r="116" spans="1:9" ht="56.25">
      <c r="A116" s="1">
        <v>113</v>
      </c>
      <c r="B116" s="186" t="s">
        <v>1065</v>
      </c>
      <c r="C116" s="1"/>
      <c r="E116" s="74" t="s">
        <v>1072</v>
      </c>
      <c r="F116" s="73">
        <v>75079440</v>
      </c>
      <c r="H116" s="20">
        <f>H115+Table1[[#This Row],[مبلغ ورود]]-Table1[[#This Row],[مبلغ خروج]]</f>
        <v>33963088370</v>
      </c>
      <c r="I116" s="216"/>
    </row>
    <row r="117" spans="1:9" ht="21">
      <c r="A117" s="1">
        <v>114</v>
      </c>
      <c r="B117" s="186" t="s">
        <v>1065</v>
      </c>
      <c r="C117" s="1"/>
      <c r="E117" s="74" t="s">
        <v>1074</v>
      </c>
      <c r="F117" s="73">
        <v>1448125758</v>
      </c>
      <c r="H117" s="20">
        <f>H116+Table1[[#This Row],[مبلغ ورود]]-Table1[[#This Row],[مبلغ خروج]]</f>
        <v>35411214128</v>
      </c>
      <c r="I117" s="216"/>
    </row>
    <row r="118" spans="1:9" ht="93.75">
      <c r="A118" s="1">
        <v>115</v>
      </c>
      <c r="B118" s="186" t="s">
        <v>1073</v>
      </c>
      <c r="C118" s="1">
        <v>479471</v>
      </c>
      <c r="D118" s="19" t="s">
        <v>938</v>
      </c>
      <c r="E118" s="74" t="s">
        <v>1075</v>
      </c>
      <c r="G118" s="20">
        <v>75079440</v>
      </c>
      <c r="H118" s="20">
        <f>H117+Table1[[#This Row],[مبلغ ورود]]-Table1[[#This Row],[مبلغ خروج]]</f>
        <v>35336134688</v>
      </c>
      <c r="I118" s="216"/>
    </row>
    <row r="119" spans="1:9" ht="56.25">
      <c r="A119" s="1">
        <v>116</v>
      </c>
      <c r="B119" s="186" t="s">
        <v>1073</v>
      </c>
      <c r="C119" s="1">
        <v>479472</v>
      </c>
      <c r="D119" s="19" t="s">
        <v>938</v>
      </c>
      <c r="E119" s="74" t="s">
        <v>1077</v>
      </c>
      <c r="G119" s="20">
        <v>89700180</v>
      </c>
      <c r="H119" s="20">
        <f>H118+Table1[[#This Row],[مبلغ ورود]]-Table1[[#This Row],[مبلغ خروج]]</f>
        <v>35246434508</v>
      </c>
      <c r="I119" s="216"/>
    </row>
    <row r="120" spans="1:9" ht="56.25">
      <c r="A120" s="1">
        <v>117</v>
      </c>
      <c r="B120" s="186" t="s">
        <v>1073</v>
      </c>
      <c r="C120" s="1">
        <v>479473</v>
      </c>
      <c r="D120" s="19" t="s">
        <v>938</v>
      </c>
      <c r="E120" s="74" t="s">
        <v>1076</v>
      </c>
      <c r="G120" s="20">
        <v>10000000000</v>
      </c>
      <c r="H120" s="20">
        <f>H119+Table1[[#This Row],[مبلغ ورود]]-Table1[[#This Row],[مبلغ خروج]]</f>
        <v>25246434508</v>
      </c>
      <c r="I120" s="216"/>
    </row>
    <row r="121" spans="1:9" ht="56.25">
      <c r="A121" s="1">
        <v>118</v>
      </c>
      <c r="B121" s="186" t="s">
        <v>1081</v>
      </c>
      <c r="C121" s="1">
        <v>479474</v>
      </c>
      <c r="D121" s="19" t="s">
        <v>938</v>
      </c>
      <c r="E121" s="74" t="s">
        <v>1078</v>
      </c>
      <c r="G121" s="20">
        <v>165022222</v>
      </c>
      <c r="H121" s="20">
        <f>H120+Table1[[#This Row],[مبلغ ورود]]-Table1[[#This Row],[مبلغ خروج]]</f>
        <v>25081412286</v>
      </c>
      <c r="I121" s="216"/>
    </row>
    <row r="122" spans="1:9" ht="56.25">
      <c r="A122" s="1">
        <v>119</v>
      </c>
      <c r="B122" s="186" t="s">
        <v>1081</v>
      </c>
      <c r="C122" s="1">
        <v>479475</v>
      </c>
      <c r="D122" s="19" t="s">
        <v>938</v>
      </c>
      <c r="E122" s="74" t="s">
        <v>1080</v>
      </c>
      <c r="G122" s="20">
        <v>321114000</v>
      </c>
      <c r="H122" s="20">
        <f>H121+Table1[[#This Row],[مبلغ ورود]]-Table1[[#This Row],[مبلغ خروج]]</f>
        <v>24760298286</v>
      </c>
      <c r="I122" s="216"/>
    </row>
    <row r="123" spans="1:9" ht="37.5">
      <c r="A123" s="1">
        <v>120</v>
      </c>
      <c r="B123" s="186" t="s">
        <v>1081</v>
      </c>
      <c r="C123" s="1">
        <v>479476</v>
      </c>
      <c r="D123" s="19" t="s">
        <v>938</v>
      </c>
      <c r="E123" s="74" t="s">
        <v>1079</v>
      </c>
      <c r="G123" s="20">
        <v>8627550000</v>
      </c>
      <c r="H123" s="20">
        <f>H122+Table1[[#This Row],[مبلغ ورود]]-Table1[[#This Row],[مبلغ خروج]]</f>
        <v>16132748286</v>
      </c>
      <c r="I123" s="216"/>
    </row>
    <row r="124" spans="1:9" ht="56.25">
      <c r="A124" s="1">
        <v>121</v>
      </c>
      <c r="B124" s="186" t="s">
        <v>1081</v>
      </c>
      <c r="C124" s="1">
        <v>479477</v>
      </c>
      <c r="D124" s="19" t="s">
        <v>938</v>
      </c>
      <c r="E124" s="74" t="s">
        <v>1082</v>
      </c>
      <c r="G124" s="20">
        <v>468165100</v>
      </c>
      <c r="H124" s="20">
        <f>H123+Table1[[#This Row],[مبلغ ورود]]-Table1[[#This Row],[مبلغ خروج]]</f>
        <v>15664583186</v>
      </c>
      <c r="I124" s="216"/>
    </row>
    <row r="125" spans="1:9" ht="56.25">
      <c r="A125" s="1">
        <v>122</v>
      </c>
      <c r="B125" s="186" t="s">
        <v>1083</v>
      </c>
      <c r="C125" s="1">
        <v>479478</v>
      </c>
      <c r="D125" s="19" t="s">
        <v>938</v>
      </c>
      <c r="E125" s="74" t="s">
        <v>1084</v>
      </c>
      <c r="G125" s="20">
        <v>1500000000</v>
      </c>
      <c r="H125" s="20">
        <f>H124+Table1[[#This Row],[مبلغ ورود]]-Table1[[#This Row],[مبلغ خروج]]</f>
        <v>14164583186</v>
      </c>
      <c r="I125" s="216"/>
    </row>
    <row r="126" spans="1:9" ht="37.5">
      <c r="A126" s="1">
        <v>123</v>
      </c>
      <c r="B126" s="186" t="s">
        <v>1083</v>
      </c>
      <c r="C126" s="1">
        <v>479479</v>
      </c>
      <c r="D126" s="19" t="s">
        <v>938</v>
      </c>
      <c r="E126" s="74" t="s">
        <v>1085</v>
      </c>
      <c r="G126" s="20">
        <v>58581200</v>
      </c>
      <c r="H126" s="20">
        <f>H125+Table1[[#This Row],[مبلغ ورود]]-Table1[[#This Row],[مبلغ خروج]]</f>
        <v>14106001986</v>
      </c>
      <c r="I126" s="216"/>
    </row>
    <row r="127" spans="1:9" ht="21">
      <c r="A127" s="1">
        <v>124</v>
      </c>
      <c r="B127" s="186" t="s">
        <v>1088</v>
      </c>
      <c r="C127" s="1"/>
      <c r="E127" s="74" t="s">
        <v>1089</v>
      </c>
      <c r="F127" s="73">
        <v>21000000000</v>
      </c>
      <c r="H127" s="20">
        <f>H126+Table1[[#This Row],[مبلغ ورود]]-Table1[[#This Row],[مبلغ خروج]]</f>
        <v>35106001986</v>
      </c>
      <c r="I127" s="216"/>
    </row>
    <row r="128" spans="1:9" ht="21">
      <c r="A128" s="1">
        <v>125</v>
      </c>
      <c r="B128" s="186" t="s">
        <v>1083</v>
      </c>
      <c r="C128" s="1"/>
      <c r="E128" s="74" t="s">
        <v>1087</v>
      </c>
      <c r="F128" s="73">
        <v>55000000000</v>
      </c>
      <c r="H128" s="20">
        <f>H127+Table1[[#This Row],[مبلغ ورود]]-Table1[[#This Row],[مبلغ خروج]]</f>
        <v>90106001986</v>
      </c>
      <c r="I128" s="216"/>
    </row>
    <row r="129" spans="1:9" ht="21">
      <c r="A129" s="1">
        <v>126</v>
      </c>
      <c r="B129" s="186" t="s">
        <v>1081</v>
      </c>
      <c r="C129" s="1"/>
      <c r="E129" s="74" t="s">
        <v>1086</v>
      </c>
      <c r="F129" s="73">
        <v>6000000000</v>
      </c>
      <c r="H129" s="20">
        <f>H128+Table1[[#This Row],[مبلغ ورود]]-Table1[[#This Row],[مبلغ خروج]]</f>
        <v>96106001986</v>
      </c>
      <c r="I129" s="216"/>
    </row>
    <row r="130" spans="1:9" ht="56.25">
      <c r="A130" s="1">
        <v>127</v>
      </c>
      <c r="B130" s="186" t="s">
        <v>1090</v>
      </c>
      <c r="C130" s="1">
        <v>479480</v>
      </c>
      <c r="D130" s="19" t="s">
        <v>938</v>
      </c>
      <c r="E130" s="74" t="s">
        <v>1091</v>
      </c>
      <c r="G130" s="20">
        <v>1356630000</v>
      </c>
      <c r="H130" s="20">
        <f>H129+Table1[[#This Row],[مبلغ ورود]]-Table1[[#This Row],[مبلغ خروج]]</f>
        <v>94749371986</v>
      </c>
      <c r="I130" s="216"/>
    </row>
    <row r="131" spans="1:9" ht="21">
      <c r="A131" s="1">
        <v>128</v>
      </c>
      <c r="B131" s="187" t="s">
        <v>1090</v>
      </c>
      <c r="C131" s="188">
        <v>479481</v>
      </c>
      <c r="D131" s="189" t="s">
        <v>938</v>
      </c>
      <c r="E131" s="190" t="s">
        <v>626</v>
      </c>
      <c r="H131" s="20">
        <f>H130+Table1[[#This Row],[مبلغ ورود]]-Table1[[#This Row],[مبلغ خروج]]</f>
        <v>94749371986</v>
      </c>
      <c r="I131" s="216"/>
    </row>
    <row r="132" spans="1:9" ht="21">
      <c r="A132" s="1">
        <v>129</v>
      </c>
      <c r="B132" s="187" t="s">
        <v>1090</v>
      </c>
      <c r="C132" s="188">
        <v>479482</v>
      </c>
      <c r="D132" s="189" t="s">
        <v>938</v>
      </c>
      <c r="E132" s="190" t="s">
        <v>626</v>
      </c>
      <c r="H132" s="20">
        <f>H131+Table1[[#This Row],[مبلغ ورود]]-Table1[[#This Row],[مبلغ خروج]]</f>
        <v>94749371986</v>
      </c>
      <c r="I132" s="216"/>
    </row>
    <row r="133" spans="1:9" ht="37.5">
      <c r="A133" s="1">
        <v>130</v>
      </c>
      <c r="B133" s="186" t="s">
        <v>1090</v>
      </c>
      <c r="C133" s="1">
        <v>479487</v>
      </c>
      <c r="D133" s="19" t="s">
        <v>938</v>
      </c>
      <c r="E133" s="74" t="s">
        <v>1093</v>
      </c>
      <c r="G133" s="20">
        <v>112288748</v>
      </c>
      <c r="H133" s="20">
        <f>H132+Table1[[#This Row],[مبلغ ورود]]-Table1[[#This Row],[مبلغ خروج]]</f>
        <v>94637083238</v>
      </c>
      <c r="I133" s="216"/>
    </row>
    <row r="134" spans="1:9" ht="37.5">
      <c r="A134" s="1">
        <v>131</v>
      </c>
      <c r="B134" s="186" t="s">
        <v>1090</v>
      </c>
      <c r="C134" s="1">
        <v>479483</v>
      </c>
      <c r="D134" s="19" t="s">
        <v>938</v>
      </c>
      <c r="E134" s="74" t="s">
        <v>1094</v>
      </c>
      <c r="G134" s="20">
        <v>33300000</v>
      </c>
      <c r="H134" s="20">
        <f>H133+Table1[[#This Row],[مبلغ ورود]]-Table1[[#This Row],[مبلغ خروج]]</f>
        <v>94603783238</v>
      </c>
      <c r="I134" s="216"/>
    </row>
    <row r="135" spans="1:9" ht="37.5">
      <c r="A135" s="1">
        <v>132</v>
      </c>
      <c r="B135" s="186" t="s">
        <v>1090</v>
      </c>
      <c r="C135" s="1">
        <v>479484</v>
      </c>
      <c r="D135" s="19" t="s">
        <v>938</v>
      </c>
      <c r="E135" s="74" t="s">
        <v>1095</v>
      </c>
      <c r="G135" s="20">
        <v>500000000</v>
      </c>
      <c r="H135" s="20">
        <f>H134+Table1[[#This Row],[مبلغ ورود]]-Table1[[#This Row],[مبلغ خروج]]</f>
        <v>94103783238</v>
      </c>
      <c r="I135" s="216"/>
    </row>
    <row r="136" spans="1:9" ht="56.25">
      <c r="A136" s="1">
        <v>133</v>
      </c>
      <c r="B136" s="186" t="s">
        <v>1090</v>
      </c>
      <c r="C136" s="1">
        <v>479485</v>
      </c>
      <c r="D136" s="19" t="s">
        <v>938</v>
      </c>
      <c r="E136" s="74" t="s">
        <v>1096</v>
      </c>
      <c r="G136" s="20">
        <v>66662860</v>
      </c>
      <c r="H136" s="20">
        <f>H135+Table1[[#This Row],[مبلغ ورود]]-Table1[[#This Row],[مبلغ خروج]]</f>
        <v>94037120378</v>
      </c>
      <c r="I136" s="216"/>
    </row>
    <row r="137" spans="1:9" ht="37.5">
      <c r="A137" s="1">
        <v>134</v>
      </c>
      <c r="B137" s="186" t="s">
        <v>1090</v>
      </c>
      <c r="C137" s="1">
        <v>479486</v>
      </c>
      <c r="D137" s="19" t="s">
        <v>938</v>
      </c>
      <c r="E137" s="74" t="s">
        <v>793</v>
      </c>
      <c r="G137" s="20">
        <v>6000000000</v>
      </c>
      <c r="H137" s="20">
        <f>H136+Table1[[#This Row],[مبلغ ورود]]-Table1[[#This Row],[مبلغ خروج]]</f>
        <v>88037120378</v>
      </c>
      <c r="I137" s="216"/>
    </row>
    <row r="138" spans="1:9" ht="37.5">
      <c r="A138" s="1">
        <v>135</v>
      </c>
      <c r="B138" s="186" t="s">
        <v>1090</v>
      </c>
      <c r="C138" s="1">
        <v>479488</v>
      </c>
      <c r="D138" s="19" t="s">
        <v>938</v>
      </c>
      <c r="E138" s="74" t="s">
        <v>1092</v>
      </c>
      <c r="G138" s="20">
        <v>1689220000</v>
      </c>
      <c r="H138" s="20">
        <f>H137+Table1[[#This Row],[مبلغ ورود]]-Table1[[#This Row],[مبلغ خروج]]</f>
        <v>86347900378</v>
      </c>
      <c r="I138" s="216"/>
    </row>
    <row r="139" spans="1:9" ht="56.25">
      <c r="A139" s="1">
        <v>136</v>
      </c>
      <c r="B139" s="186" t="s">
        <v>1098</v>
      </c>
      <c r="C139" s="1">
        <v>479489</v>
      </c>
      <c r="D139" s="19" t="s">
        <v>938</v>
      </c>
      <c r="E139" s="74" t="s">
        <v>1097</v>
      </c>
      <c r="G139" s="20">
        <v>562370763</v>
      </c>
      <c r="H139" s="20">
        <f>H138+Table1[[#This Row],[مبلغ ورود]]-Table1[[#This Row],[مبلغ خروج]]</f>
        <v>85785529615</v>
      </c>
      <c r="I139" s="216"/>
    </row>
    <row r="140" spans="1:9" ht="21">
      <c r="A140" s="210">
        <v>137</v>
      </c>
      <c r="B140" s="211" t="s">
        <v>1098</v>
      </c>
      <c r="C140" s="210">
        <v>479490</v>
      </c>
      <c r="D140" s="212" t="s">
        <v>938</v>
      </c>
      <c r="E140" s="213" t="s">
        <v>1469</v>
      </c>
      <c r="F140" s="214"/>
      <c r="G140" s="196">
        <v>0</v>
      </c>
      <c r="H140" s="196">
        <f>H139+Table1[[#This Row],[مبلغ ورود]]-Table1[[#This Row],[مبلغ خروج]]</f>
        <v>85785529615</v>
      </c>
      <c r="I140" s="216"/>
    </row>
    <row r="141" spans="1:9" ht="56.25">
      <c r="A141" s="1">
        <v>138</v>
      </c>
      <c r="B141" s="186" t="s">
        <v>1098</v>
      </c>
      <c r="C141" s="1">
        <v>479491</v>
      </c>
      <c r="D141" s="19" t="s">
        <v>938</v>
      </c>
      <c r="E141" s="74" t="s">
        <v>1099</v>
      </c>
      <c r="G141" s="20">
        <v>1000000000</v>
      </c>
      <c r="H141" s="20">
        <f>H140+Table1[[#This Row],[مبلغ ورود]]-Table1[[#This Row],[مبلغ خروج]]</f>
        <v>84785529615</v>
      </c>
      <c r="I141" s="216"/>
    </row>
    <row r="142" spans="1:9" ht="56.25">
      <c r="A142" s="1">
        <v>139</v>
      </c>
      <c r="B142" s="186" t="s">
        <v>1098</v>
      </c>
      <c r="C142" s="1">
        <v>479492</v>
      </c>
      <c r="D142" s="19" t="s">
        <v>938</v>
      </c>
      <c r="E142" s="74" t="s">
        <v>1100</v>
      </c>
      <c r="G142" s="20">
        <v>14562536355</v>
      </c>
      <c r="H142" s="20">
        <f>H141+Table1[[#This Row],[مبلغ ورود]]-Table1[[#This Row],[مبلغ خروج]]</f>
        <v>70222993260</v>
      </c>
      <c r="I142" s="216"/>
    </row>
    <row r="143" spans="1:9" ht="56.25">
      <c r="A143" s="1">
        <v>140</v>
      </c>
      <c r="B143" s="186" t="s">
        <v>1098</v>
      </c>
      <c r="C143" s="1">
        <v>479493</v>
      </c>
      <c r="D143" s="19" t="s">
        <v>938</v>
      </c>
      <c r="E143" s="74" t="s">
        <v>1101</v>
      </c>
      <c r="G143" s="20">
        <v>185286955</v>
      </c>
      <c r="H143" s="20">
        <f>H142+Table1[[#This Row],[مبلغ ورود]]-Table1[[#This Row],[مبلغ خروج]]</f>
        <v>70037706305</v>
      </c>
      <c r="I143" s="216"/>
    </row>
    <row r="144" spans="1:9" ht="56.25">
      <c r="A144" s="1">
        <v>141</v>
      </c>
      <c r="B144" s="186" t="s">
        <v>1098</v>
      </c>
      <c r="C144" s="1">
        <v>479494</v>
      </c>
      <c r="D144" s="19" t="s">
        <v>938</v>
      </c>
      <c r="E144" s="74" t="s">
        <v>1102</v>
      </c>
      <c r="G144" s="20">
        <f>1369197000+17850000</f>
        <v>1387047000</v>
      </c>
      <c r="H144" s="20">
        <f>H143+Table1[[#This Row],[مبلغ ورود]]-Table1[[#This Row],[مبلغ خروج]]</f>
        <v>68650659305</v>
      </c>
      <c r="I144" s="216"/>
    </row>
    <row r="145" spans="1:9" ht="37.5">
      <c r="A145" s="1">
        <v>142</v>
      </c>
      <c r="B145" s="186" t="s">
        <v>1098</v>
      </c>
      <c r="C145" s="1">
        <v>479495</v>
      </c>
      <c r="D145" s="19" t="s">
        <v>938</v>
      </c>
      <c r="E145" s="74" t="s">
        <v>1103</v>
      </c>
      <c r="G145" s="20">
        <v>100640000</v>
      </c>
      <c r="H145" s="20">
        <f>H144+Table1[[#This Row],[مبلغ ورود]]-Table1[[#This Row],[مبلغ خروج]]</f>
        <v>68550019305</v>
      </c>
      <c r="I145" s="216"/>
    </row>
    <row r="146" spans="1:9" ht="56.25">
      <c r="A146" s="1">
        <v>143</v>
      </c>
      <c r="B146" s="186" t="s">
        <v>1104</v>
      </c>
      <c r="C146" s="1">
        <v>479496</v>
      </c>
      <c r="D146" s="19" t="s">
        <v>938</v>
      </c>
      <c r="E146" s="74" t="s">
        <v>1105</v>
      </c>
      <c r="G146" s="20">
        <v>43737000</v>
      </c>
      <c r="H146" s="20">
        <f>H145+Table1[[#This Row],[مبلغ ورود]]-Table1[[#This Row],[مبلغ خروج]]</f>
        <v>68506282305</v>
      </c>
      <c r="I146" s="216"/>
    </row>
    <row r="147" spans="1:9" ht="37.5">
      <c r="A147" s="1">
        <v>144</v>
      </c>
      <c r="B147" s="186" t="s">
        <v>1104</v>
      </c>
      <c r="C147" s="1">
        <v>479497</v>
      </c>
      <c r="D147" s="19" t="s">
        <v>938</v>
      </c>
      <c r="E147" s="74" t="s">
        <v>793</v>
      </c>
      <c r="G147" s="20">
        <v>1000000000</v>
      </c>
      <c r="H147" s="20">
        <f>H146+Table1[[#This Row],[مبلغ ورود]]-Table1[[#This Row],[مبلغ خروج]]</f>
        <v>67506282305</v>
      </c>
      <c r="I147" s="216"/>
    </row>
    <row r="148" spans="1:9" ht="21">
      <c r="A148" s="1">
        <v>145</v>
      </c>
      <c r="B148" s="186" t="s">
        <v>1104</v>
      </c>
      <c r="C148" s="1">
        <v>479498</v>
      </c>
      <c r="D148" s="19" t="s">
        <v>938</v>
      </c>
      <c r="E148" s="74" t="s">
        <v>626</v>
      </c>
      <c r="H148" s="20">
        <f>H147+Table1[[#This Row],[مبلغ ورود]]-Table1[[#This Row],[مبلغ خروج]]</f>
        <v>67506282305</v>
      </c>
      <c r="I148" s="216"/>
    </row>
    <row r="149" spans="1:9" ht="37.5">
      <c r="A149" s="1">
        <v>146</v>
      </c>
      <c r="B149" s="186" t="s">
        <v>1104</v>
      </c>
      <c r="C149" s="1">
        <v>479499</v>
      </c>
      <c r="D149" s="19" t="s">
        <v>938</v>
      </c>
      <c r="E149" s="74" t="s">
        <v>793</v>
      </c>
      <c r="G149" s="20">
        <v>5000000000</v>
      </c>
      <c r="H149" s="20">
        <f>H148+Table1[[#This Row],[مبلغ ورود]]-Table1[[#This Row],[مبلغ خروج]]</f>
        <v>62506282305</v>
      </c>
      <c r="I149" s="216"/>
    </row>
    <row r="150" spans="1:9" ht="56.25">
      <c r="A150" s="1">
        <v>147</v>
      </c>
      <c r="B150" s="186" t="s">
        <v>1104</v>
      </c>
      <c r="C150" s="1">
        <v>479500</v>
      </c>
      <c r="D150" s="19" t="s">
        <v>938</v>
      </c>
      <c r="E150" s="74" t="s">
        <v>1106</v>
      </c>
      <c r="G150" s="20">
        <v>144207000</v>
      </c>
      <c r="H150" s="20">
        <f>H149+Table1[[#This Row],[مبلغ ورود]]-Table1[[#This Row],[مبلغ خروج]]</f>
        <v>62362075305</v>
      </c>
      <c r="I150" s="216"/>
    </row>
    <row r="151" spans="1:9" ht="56.25">
      <c r="A151" s="1">
        <v>148</v>
      </c>
      <c r="B151" s="186" t="s">
        <v>1107</v>
      </c>
      <c r="C151" s="1">
        <v>519651</v>
      </c>
      <c r="D151" s="19" t="s">
        <v>938</v>
      </c>
      <c r="E151" s="74" t="s">
        <v>1108</v>
      </c>
      <c r="G151" s="20">
        <v>1649417324</v>
      </c>
      <c r="H151" s="20">
        <f>H150+Table1[[#This Row],[مبلغ ورود]]-Table1[[#This Row],[مبلغ خروج]]</f>
        <v>60712657981</v>
      </c>
      <c r="I151" s="216"/>
    </row>
    <row r="152" spans="1:9" ht="37.5">
      <c r="A152" s="1">
        <v>149</v>
      </c>
      <c r="B152" s="186" t="s">
        <v>1109</v>
      </c>
      <c r="C152" s="1">
        <v>519652</v>
      </c>
      <c r="D152" s="19" t="s">
        <v>938</v>
      </c>
      <c r="E152" s="74" t="s">
        <v>1110</v>
      </c>
      <c r="G152" s="20">
        <v>10445310000</v>
      </c>
      <c r="H152" s="20">
        <f>H151+Table1[[#This Row],[مبلغ ورود]]-Table1[[#This Row],[مبلغ خروج]]</f>
        <v>50267347981</v>
      </c>
      <c r="I152" s="216"/>
    </row>
    <row r="153" spans="1:9" ht="56.25">
      <c r="A153" s="1">
        <v>150</v>
      </c>
      <c r="B153" s="186" t="s">
        <v>1107</v>
      </c>
      <c r="C153" s="1">
        <v>519653</v>
      </c>
      <c r="D153" s="19" t="s">
        <v>938</v>
      </c>
      <c r="E153" s="74" t="s">
        <v>1111</v>
      </c>
      <c r="G153" s="20">
        <v>43491000</v>
      </c>
      <c r="H153" s="20">
        <f>H152+Table1[[#This Row],[مبلغ ورود]]-Table1[[#This Row],[مبلغ خروج]]</f>
        <v>50223856981</v>
      </c>
      <c r="I153" s="216"/>
    </row>
    <row r="154" spans="1:9" ht="37.5">
      <c r="A154" s="1">
        <v>151</v>
      </c>
      <c r="B154" s="186" t="s">
        <v>1112</v>
      </c>
      <c r="C154" s="1">
        <v>519654</v>
      </c>
      <c r="D154" s="19" t="s">
        <v>938</v>
      </c>
      <c r="E154" s="74" t="s">
        <v>1113</v>
      </c>
      <c r="G154" s="20">
        <v>37451797040</v>
      </c>
      <c r="H154" s="20">
        <f>H153+Table1[[#This Row],[مبلغ ورود]]-Table1[[#This Row],[مبلغ خروج]]</f>
        <v>12772059941</v>
      </c>
      <c r="I154" s="216"/>
    </row>
    <row r="155" spans="1:9" ht="37.5">
      <c r="A155" s="1">
        <v>152</v>
      </c>
      <c r="B155" s="186" t="s">
        <v>1107</v>
      </c>
      <c r="C155" s="1">
        <v>519655</v>
      </c>
      <c r="D155" s="19" t="s">
        <v>938</v>
      </c>
      <c r="E155" s="74" t="s">
        <v>793</v>
      </c>
      <c r="G155" s="20">
        <v>10000000000</v>
      </c>
      <c r="H155" s="20">
        <f>H154+Table1[[#This Row],[مبلغ ورود]]-Table1[[#This Row],[مبلغ خروج]]</f>
        <v>2772059941</v>
      </c>
      <c r="I155" s="216"/>
    </row>
    <row r="156" spans="1:9" ht="56.25">
      <c r="A156" s="1">
        <v>153</v>
      </c>
      <c r="B156" s="186" t="s">
        <v>1107</v>
      </c>
      <c r="C156" s="1">
        <v>519656</v>
      </c>
      <c r="D156" s="19" t="s">
        <v>938</v>
      </c>
      <c r="E156" s="74" t="s">
        <v>1114</v>
      </c>
      <c r="G156" s="20">
        <v>67598790</v>
      </c>
      <c r="H156" s="20">
        <f>H155+Table1[[#This Row],[مبلغ ورود]]-Table1[[#This Row],[مبلغ خروج]]</f>
        <v>2704461151</v>
      </c>
      <c r="I156" s="216"/>
    </row>
    <row r="157" spans="1:9" ht="56.25">
      <c r="A157" s="1">
        <v>154</v>
      </c>
      <c r="B157" s="186" t="s">
        <v>1115</v>
      </c>
      <c r="C157" s="1">
        <v>519659</v>
      </c>
      <c r="D157" s="19" t="s">
        <v>938</v>
      </c>
      <c r="E157" s="74" t="s">
        <v>1116</v>
      </c>
      <c r="G157" s="20">
        <v>62612724</v>
      </c>
      <c r="H157" s="20">
        <f>H156+Table1[[#This Row],[مبلغ ورود]]-Table1[[#This Row],[مبلغ خروج]]</f>
        <v>2641848427</v>
      </c>
      <c r="I157" s="216"/>
    </row>
    <row r="158" spans="1:9" ht="56.25">
      <c r="A158" s="1">
        <v>155</v>
      </c>
      <c r="B158" s="186" t="s">
        <v>1115</v>
      </c>
      <c r="C158" s="1">
        <v>519658</v>
      </c>
      <c r="D158" s="19" t="s">
        <v>938</v>
      </c>
      <c r="E158" s="74" t="s">
        <v>1117</v>
      </c>
      <c r="G158" s="20">
        <v>150000000</v>
      </c>
      <c r="H158" s="20">
        <f>H157+Table1[[#This Row],[مبلغ ورود]]-Table1[[#This Row],[مبلغ خروج]]</f>
        <v>2491848427</v>
      </c>
      <c r="I158" s="216"/>
    </row>
    <row r="159" spans="1:9" ht="21">
      <c r="A159" s="1">
        <v>156</v>
      </c>
      <c r="B159" s="186"/>
      <c r="C159" s="1">
        <v>519657</v>
      </c>
      <c r="E159" s="74" t="s">
        <v>626</v>
      </c>
      <c r="H159" s="20">
        <f>H158+Table1[[#This Row],[مبلغ ورود]]-Table1[[#This Row],[مبلغ خروج]]</f>
        <v>2491848427</v>
      </c>
      <c r="I159" s="216"/>
    </row>
    <row r="160" spans="1:9" ht="37.5">
      <c r="A160" s="1">
        <v>157</v>
      </c>
      <c r="B160" s="186" t="s">
        <v>1118</v>
      </c>
      <c r="C160" s="1">
        <v>519660</v>
      </c>
      <c r="D160" s="19" t="s">
        <v>938</v>
      </c>
      <c r="E160" s="74" t="s">
        <v>1119</v>
      </c>
      <c r="G160" s="20">
        <v>141264000</v>
      </c>
      <c r="H160" s="20">
        <f>H159+Table1[[#This Row],[مبلغ ورود]]-Table1[[#This Row],[مبلغ خروج]]</f>
        <v>2350584427</v>
      </c>
      <c r="I160" s="216"/>
    </row>
    <row r="161" spans="1:9" ht="37.5">
      <c r="A161" s="1">
        <v>158</v>
      </c>
      <c r="B161" s="186" t="s">
        <v>1118</v>
      </c>
      <c r="C161" s="1">
        <v>519661</v>
      </c>
      <c r="D161" s="19" t="s">
        <v>938</v>
      </c>
      <c r="E161" s="74" t="s">
        <v>793</v>
      </c>
      <c r="G161" s="20">
        <v>10000000000</v>
      </c>
      <c r="H161" s="20">
        <f>H160+Table1[[#This Row],[مبلغ ورود]]-Table1[[#This Row],[مبلغ خروج]]</f>
        <v>-7649415573</v>
      </c>
      <c r="I161" s="216"/>
    </row>
    <row r="162" spans="1:9" ht="56.25">
      <c r="A162" s="1">
        <v>159</v>
      </c>
      <c r="B162" s="186" t="s">
        <v>1118</v>
      </c>
      <c r="C162" s="1">
        <v>519662</v>
      </c>
      <c r="D162" s="19" t="s">
        <v>938</v>
      </c>
      <c r="E162" s="74" t="s">
        <v>1120</v>
      </c>
      <c r="G162" s="20">
        <v>81213000</v>
      </c>
      <c r="H162" s="20">
        <f>H161+Table1[[#This Row],[مبلغ ورود]]-Table1[[#This Row],[مبلغ خروج]]</f>
        <v>-7730628573</v>
      </c>
      <c r="I162" s="216"/>
    </row>
    <row r="163" spans="1:9" ht="37.5">
      <c r="A163" s="1">
        <v>160</v>
      </c>
      <c r="B163" s="186" t="s">
        <v>1109</v>
      </c>
      <c r="C163" s="1">
        <v>519663</v>
      </c>
      <c r="D163" s="19" t="s">
        <v>938</v>
      </c>
      <c r="E163" s="74" t="s">
        <v>1121</v>
      </c>
      <c r="G163" s="20">
        <v>95363000</v>
      </c>
      <c r="H163" s="20">
        <f>H162+Table1[[#This Row],[مبلغ ورود]]-Table1[[#This Row],[مبلغ خروج]]</f>
        <v>-7825991573</v>
      </c>
      <c r="I163" s="216"/>
    </row>
    <row r="164" spans="1:9" ht="37.5">
      <c r="A164" s="1">
        <v>161</v>
      </c>
      <c r="B164" s="186" t="s">
        <v>1109</v>
      </c>
      <c r="C164" s="1">
        <v>519664</v>
      </c>
      <c r="D164" s="19" t="s">
        <v>938</v>
      </c>
      <c r="E164" s="74" t="s">
        <v>1122</v>
      </c>
      <c r="G164" s="20">
        <v>601809036</v>
      </c>
      <c r="H164" s="20">
        <f>H163+Table1[[#This Row],[مبلغ ورود]]-Table1[[#This Row],[مبلغ خروج]]</f>
        <v>-8427800609</v>
      </c>
      <c r="I164" s="216"/>
    </row>
    <row r="165" spans="1:9" ht="37.5">
      <c r="A165" s="1">
        <v>162</v>
      </c>
      <c r="B165" s="186" t="s">
        <v>1109</v>
      </c>
      <c r="C165" s="1">
        <v>519665</v>
      </c>
      <c r="D165" s="19" t="s">
        <v>938</v>
      </c>
      <c r="E165" s="74" t="s">
        <v>1123</v>
      </c>
      <c r="G165" s="20">
        <v>721189716</v>
      </c>
      <c r="H165" s="20">
        <f>H164+Table1[[#This Row],[مبلغ ورود]]-Table1[[#This Row],[مبلغ خروج]]</f>
        <v>-9148990325</v>
      </c>
      <c r="I165" s="216"/>
    </row>
    <row r="166" spans="1:9" ht="37.5">
      <c r="A166" s="1">
        <v>163</v>
      </c>
      <c r="B166" s="186" t="s">
        <v>1109</v>
      </c>
      <c r="C166" s="1">
        <v>519666</v>
      </c>
      <c r="D166" s="19" t="s">
        <v>938</v>
      </c>
      <c r="E166" s="151" t="s">
        <v>1124</v>
      </c>
      <c r="G166" s="20">
        <v>2650000000</v>
      </c>
      <c r="H166" s="20">
        <f>H165+Table1[[#This Row],[مبلغ ورود]]-Table1[[#This Row],[مبلغ خروج]]</f>
        <v>-11798990325</v>
      </c>
      <c r="I166" s="216"/>
    </row>
    <row r="167" spans="1:9" ht="21">
      <c r="A167" s="1">
        <v>164</v>
      </c>
      <c r="B167" s="186" t="s">
        <v>1109</v>
      </c>
      <c r="C167" s="1">
        <v>519667</v>
      </c>
      <c r="D167" s="19" t="s">
        <v>938</v>
      </c>
      <c r="E167" s="74" t="s">
        <v>710</v>
      </c>
      <c r="G167" s="20">
        <v>3500000000</v>
      </c>
      <c r="H167" s="20">
        <f>H166+Table1[[#This Row],[مبلغ ورود]]-Table1[[#This Row],[مبلغ خروج]]</f>
        <v>-15298990325</v>
      </c>
      <c r="I167" s="216"/>
    </row>
    <row r="168" spans="1:9" ht="37.5">
      <c r="A168" s="1">
        <v>165</v>
      </c>
      <c r="B168" s="186" t="s">
        <v>1125</v>
      </c>
      <c r="C168" s="1">
        <v>519668</v>
      </c>
      <c r="D168" s="19" t="s">
        <v>938</v>
      </c>
      <c r="E168" s="74" t="s">
        <v>1126</v>
      </c>
      <c r="G168" s="20">
        <v>4905000</v>
      </c>
      <c r="H168" s="20">
        <f>H167+Table1[[#This Row],[مبلغ ورود]]-Table1[[#This Row],[مبلغ خروج]]</f>
        <v>-15303895325</v>
      </c>
      <c r="I168" s="216"/>
    </row>
    <row r="169" spans="1:9" ht="56.25">
      <c r="A169" s="1">
        <v>166</v>
      </c>
      <c r="B169" s="186" t="s">
        <v>1125</v>
      </c>
      <c r="C169" s="1">
        <v>519669</v>
      </c>
      <c r="D169" s="19" t="s">
        <v>938</v>
      </c>
      <c r="E169" s="74" t="s">
        <v>1127</v>
      </c>
      <c r="G169" s="20">
        <v>66398780</v>
      </c>
      <c r="H169" s="20">
        <f>H168+Table1[[#This Row],[مبلغ ورود]]-Table1[[#This Row],[مبلغ خروج]]</f>
        <v>-15370294105</v>
      </c>
      <c r="I169" s="216"/>
    </row>
    <row r="170" spans="1:9" ht="21">
      <c r="A170" s="1">
        <v>167</v>
      </c>
      <c r="B170" s="186" t="s">
        <v>1125</v>
      </c>
      <c r="C170" s="1"/>
      <c r="E170" s="74" t="s">
        <v>1128</v>
      </c>
      <c r="F170" s="191">
        <v>20000000000</v>
      </c>
      <c r="H170" s="20">
        <f>H169+Table1[[#This Row],[مبلغ ورود]]-Table1[[#This Row],[مبلغ خروج]]</f>
        <v>4629705895</v>
      </c>
      <c r="I170" s="216"/>
    </row>
    <row r="171" spans="1:9" ht="37.5">
      <c r="A171" s="1">
        <v>168</v>
      </c>
      <c r="B171" s="186" t="s">
        <v>1131</v>
      </c>
      <c r="C171" s="1"/>
      <c r="E171" s="74" t="s">
        <v>1129</v>
      </c>
      <c r="F171" s="191">
        <v>8608000</v>
      </c>
      <c r="H171" s="20">
        <f>H170+Table1[[#This Row],[مبلغ ورود]]-Table1[[#This Row],[مبلغ خروج]]</f>
        <v>4638313895</v>
      </c>
      <c r="I171" s="216"/>
    </row>
    <row r="172" spans="1:9" ht="37.5" hidden="1">
      <c r="A172" s="204">
        <v>170</v>
      </c>
      <c r="B172" s="205" t="s">
        <v>1131</v>
      </c>
      <c r="C172" s="204">
        <v>519670</v>
      </c>
      <c r="D172" s="206" t="s">
        <v>938</v>
      </c>
      <c r="E172" s="207" t="s">
        <v>1133</v>
      </c>
      <c r="F172" s="208"/>
      <c r="G172" s="209">
        <v>129470000</v>
      </c>
      <c r="H172" s="209">
        <f>H171+Table1[[#This Row],[مبلغ ورود]]-Table1[[#This Row],[مبلغ خروج]]</f>
        <v>4508843895</v>
      </c>
      <c r="I172" s="216"/>
    </row>
    <row r="173" spans="1:9" ht="21">
      <c r="A173" s="1">
        <v>170</v>
      </c>
      <c r="B173" s="186" t="s">
        <v>1131</v>
      </c>
      <c r="C173" s="1"/>
      <c r="E173" s="74" t="s">
        <v>1130</v>
      </c>
      <c r="F173" s="191">
        <v>69968283</v>
      </c>
      <c r="H173" s="20">
        <f>H172+Table1[[#This Row],[مبلغ ورود]]-Table1[[#This Row],[مبلغ خروج]]</f>
        <v>4578812178</v>
      </c>
      <c r="I173" s="216"/>
    </row>
    <row r="174" spans="1:9" ht="21">
      <c r="A174" s="1">
        <v>171</v>
      </c>
      <c r="B174" s="186" t="s">
        <v>1131</v>
      </c>
      <c r="C174" s="1"/>
      <c r="E174" s="74" t="s">
        <v>1089</v>
      </c>
      <c r="F174" s="191">
        <v>10000000000</v>
      </c>
      <c r="H174" s="20">
        <f>H173+Table1[[#This Row],[مبلغ ورود]]-Table1[[#This Row],[مبلغ خروج]]</f>
        <v>14578812178</v>
      </c>
      <c r="I174" s="216"/>
    </row>
    <row r="175" spans="1:9" ht="21">
      <c r="A175" s="1">
        <v>172</v>
      </c>
      <c r="B175" s="186" t="s">
        <v>1131</v>
      </c>
      <c r="C175" s="1"/>
      <c r="E175" s="74" t="s">
        <v>1067</v>
      </c>
      <c r="F175" s="191">
        <v>276115872</v>
      </c>
      <c r="H175" s="20">
        <f>H174+Table1[[#This Row],[مبلغ ورود]]-Table1[[#This Row],[مبلغ خروج]]</f>
        <v>14854928050</v>
      </c>
      <c r="I175" s="216"/>
    </row>
    <row r="176" spans="1:9" ht="37.5">
      <c r="A176" s="1">
        <v>173</v>
      </c>
      <c r="B176" s="186" t="s">
        <v>1132</v>
      </c>
      <c r="C176" s="1">
        <v>519670</v>
      </c>
      <c r="D176" s="19" t="s">
        <v>938</v>
      </c>
      <c r="E176" s="74" t="s">
        <v>1133</v>
      </c>
      <c r="G176" s="20">
        <v>12431581</v>
      </c>
      <c r="H176" s="20">
        <f>H175+Table1[[#This Row],[مبلغ ورود]]-Table1[[#This Row],[مبلغ خروج]]</f>
        <v>14842496469</v>
      </c>
      <c r="I176" s="216"/>
    </row>
    <row r="177" spans="1:9" ht="56.25">
      <c r="A177" s="1">
        <v>174</v>
      </c>
      <c r="B177" s="186" t="s">
        <v>1132</v>
      </c>
      <c r="C177" s="1">
        <v>519671</v>
      </c>
      <c r="D177" s="19" t="s">
        <v>938</v>
      </c>
      <c r="E177" s="74" t="s">
        <v>1134</v>
      </c>
      <c r="G177" s="20">
        <v>2557161800</v>
      </c>
      <c r="H177" s="20">
        <f>H176+Table1[[#This Row],[مبلغ ورود]]-Table1[[#This Row],[مبلغ خروج]]</f>
        <v>12285334669</v>
      </c>
      <c r="I177" s="216"/>
    </row>
    <row r="178" spans="1:9" ht="56.25">
      <c r="A178" s="1">
        <v>175</v>
      </c>
      <c r="B178" s="186" t="s">
        <v>1135</v>
      </c>
      <c r="C178" s="1">
        <v>519672</v>
      </c>
      <c r="D178" s="19" t="s">
        <v>938</v>
      </c>
      <c r="E178" s="74" t="s">
        <v>1136</v>
      </c>
      <c r="G178" s="20">
        <v>10795380000</v>
      </c>
      <c r="H178" s="20">
        <f>H177+Table1[[#This Row],[مبلغ ورود]]-Table1[[#This Row],[مبلغ خروج]]</f>
        <v>1489954669</v>
      </c>
      <c r="I178" s="216"/>
    </row>
    <row r="179" spans="1:9" ht="56.25">
      <c r="A179" s="1">
        <v>176</v>
      </c>
      <c r="B179" s="186" t="s">
        <v>1132</v>
      </c>
      <c r="C179" s="1">
        <v>519673</v>
      </c>
      <c r="D179" s="19" t="s">
        <v>938</v>
      </c>
      <c r="E179" s="74" t="s">
        <v>1137</v>
      </c>
      <c r="G179" s="20">
        <v>455670000</v>
      </c>
      <c r="H179" s="20">
        <f>H178+Table1[[#This Row],[مبلغ ورود]]-Table1[[#This Row],[مبلغ خروج]]</f>
        <v>1034284669</v>
      </c>
      <c r="I179" s="216"/>
    </row>
    <row r="180" spans="1:9" ht="56.25">
      <c r="A180" s="1">
        <v>177</v>
      </c>
      <c r="B180" s="186" t="s">
        <v>1132</v>
      </c>
      <c r="C180" s="1">
        <v>519674</v>
      </c>
      <c r="D180" s="19" t="s">
        <v>938</v>
      </c>
      <c r="E180" s="74" t="s">
        <v>1138</v>
      </c>
      <c r="G180" s="20">
        <v>785801240</v>
      </c>
      <c r="H180" s="20">
        <f>H179+Table1[[#This Row],[مبلغ ورود]]-Table1[[#This Row],[مبلغ خروج]]</f>
        <v>248483429</v>
      </c>
      <c r="I180" s="216"/>
    </row>
    <row r="181" spans="1:9" ht="37.5">
      <c r="A181" s="1">
        <v>178</v>
      </c>
      <c r="B181" s="186" t="s">
        <v>1139</v>
      </c>
      <c r="C181" s="1">
        <v>519675</v>
      </c>
      <c r="D181" s="19" t="s">
        <v>938</v>
      </c>
      <c r="E181" s="74" t="s">
        <v>1140</v>
      </c>
      <c r="G181" s="20">
        <v>200000000</v>
      </c>
      <c r="H181" s="20">
        <f>H180+Table1[[#This Row],[مبلغ ورود]]-Table1[[#This Row],[مبلغ خروج]]</f>
        <v>48483429</v>
      </c>
      <c r="I181" s="216"/>
    </row>
    <row r="182" spans="1:9" ht="37.5">
      <c r="A182" s="1">
        <v>179</v>
      </c>
      <c r="B182" s="186" t="s">
        <v>1139</v>
      </c>
      <c r="C182" s="1">
        <v>519676</v>
      </c>
      <c r="D182" s="19" t="s">
        <v>938</v>
      </c>
      <c r="E182" s="74" t="s">
        <v>1141</v>
      </c>
      <c r="G182" s="20">
        <v>258122250</v>
      </c>
      <c r="H182" s="20">
        <f>H181+Table1[[#This Row],[مبلغ ورود]]-Table1[[#This Row],[مبلغ خروج]]</f>
        <v>-209638821</v>
      </c>
      <c r="I182" s="216"/>
    </row>
    <row r="183" spans="1:9" ht="56.25">
      <c r="A183" s="1">
        <v>180</v>
      </c>
      <c r="B183" s="186" t="s">
        <v>1112</v>
      </c>
      <c r="C183" s="1">
        <v>519677</v>
      </c>
      <c r="D183" s="19" t="s">
        <v>938</v>
      </c>
      <c r="E183" s="74" t="s">
        <v>1142</v>
      </c>
      <c r="G183" s="20">
        <v>300000000</v>
      </c>
      <c r="H183" s="20">
        <f>H182+Table1[[#This Row],[مبلغ ورود]]-Table1[[#This Row],[مبلغ خروج]]</f>
        <v>-509638821</v>
      </c>
      <c r="I183" s="216"/>
    </row>
    <row r="184" spans="1:9" ht="37.5">
      <c r="A184" s="1">
        <v>181</v>
      </c>
      <c r="B184" s="186" t="s">
        <v>1143</v>
      </c>
      <c r="C184" s="1">
        <v>519678</v>
      </c>
      <c r="D184" s="19" t="s">
        <v>938</v>
      </c>
      <c r="E184" s="74" t="s">
        <v>1144</v>
      </c>
      <c r="G184" s="20">
        <v>135700000</v>
      </c>
      <c r="H184" s="20">
        <f>H183+Table1[[#This Row],[مبلغ ورود]]-Table1[[#This Row],[مبلغ خروج]]</f>
        <v>-645338821</v>
      </c>
      <c r="I184" s="216"/>
    </row>
    <row r="185" spans="1:9" ht="37.5">
      <c r="A185" s="1">
        <v>182</v>
      </c>
      <c r="B185" s="186" t="s">
        <v>1143</v>
      </c>
      <c r="C185" s="1">
        <v>519679</v>
      </c>
      <c r="D185" s="19" t="s">
        <v>938</v>
      </c>
      <c r="E185" s="74" t="s">
        <v>1145</v>
      </c>
      <c r="G185" s="20">
        <v>251000000</v>
      </c>
      <c r="H185" s="20">
        <f>H184+Table1[[#This Row],[مبلغ ورود]]-Table1[[#This Row],[مبلغ خروج]]</f>
        <v>-896338821</v>
      </c>
      <c r="I185" s="216"/>
    </row>
    <row r="186" spans="1:9" ht="56.25">
      <c r="A186" s="1">
        <v>183</v>
      </c>
      <c r="B186" s="186" t="s">
        <v>1143</v>
      </c>
      <c r="C186" s="1">
        <v>519680</v>
      </c>
      <c r="D186" s="19" t="s">
        <v>938</v>
      </c>
      <c r="E186" s="74" t="s">
        <v>1146</v>
      </c>
      <c r="G186" s="20">
        <v>53376500</v>
      </c>
      <c r="H186" s="20">
        <f>H185+Table1[[#This Row],[مبلغ ورود]]-Table1[[#This Row],[مبلغ خروج]]</f>
        <v>-949715321</v>
      </c>
      <c r="I186" s="216"/>
    </row>
    <row r="187" spans="1:9" ht="21">
      <c r="A187" s="1">
        <v>184</v>
      </c>
      <c r="B187" s="186" t="s">
        <v>1143</v>
      </c>
      <c r="C187" s="1"/>
      <c r="E187" s="74" t="s">
        <v>1147</v>
      </c>
      <c r="F187" s="73">
        <v>9900000000</v>
      </c>
      <c r="H187" s="20">
        <f>H186+Table1[[#This Row],[مبلغ ورود]]-Table1[[#This Row],[مبلغ خروج]]</f>
        <v>8950284679</v>
      </c>
      <c r="I187" s="216"/>
    </row>
    <row r="188" spans="1:9" ht="37.5">
      <c r="A188" s="1">
        <v>185</v>
      </c>
      <c r="B188" s="186" t="s">
        <v>1143</v>
      </c>
      <c r="C188" s="1">
        <v>519681</v>
      </c>
      <c r="D188" s="19" t="s">
        <v>938</v>
      </c>
      <c r="E188" s="74" t="s">
        <v>1148</v>
      </c>
      <c r="G188" s="20">
        <v>1308000000</v>
      </c>
      <c r="H188" s="20">
        <f>H187+Table1[[#This Row],[مبلغ ورود]]-Table1[[#This Row],[مبلغ خروج]]</f>
        <v>7642284679</v>
      </c>
      <c r="I188" s="216"/>
    </row>
    <row r="189" spans="1:9" ht="37.5">
      <c r="A189" s="1">
        <v>186</v>
      </c>
      <c r="B189" s="186" t="s">
        <v>1149</v>
      </c>
      <c r="C189" s="1">
        <v>519682</v>
      </c>
      <c r="D189" s="19" t="s">
        <v>938</v>
      </c>
      <c r="E189" s="74" t="s">
        <v>1150</v>
      </c>
      <c r="G189" s="20">
        <v>46450350</v>
      </c>
      <c r="H189" s="20">
        <f>H188+Table1[[#This Row],[مبلغ ورود]]-Table1[[#This Row],[مبلغ خروج]]</f>
        <v>7595834329</v>
      </c>
      <c r="I189" s="216"/>
    </row>
    <row r="190" spans="1:9" ht="56.25">
      <c r="A190" s="1">
        <v>187</v>
      </c>
      <c r="B190" s="186" t="s">
        <v>1135</v>
      </c>
      <c r="C190" s="1">
        <v>519683</v>
      </c>
      <c r="D190" s="19" t="s">
        <v>938</v>
      </c>
      <c r="E190" s="74" t="s">
        <v>1151</v>
      </c>
      <c r="G190" s="20">
        <v>177997000</v>
      </c>
      <c r="H190" s="20">
        <f>H189+Table1[[#This Row],[مبلغ ورود]]-Table1[[#This Row],[مبلغ خروج]]</f>
        <v>7417837329</v>
      </c>
      <c r="I190" s="216"/>
    </row>
    <row r="191" spans="1:9" ht="37.5">
      <c r="A191" s="1">
        <v>188</v>
      </c>
      <c r="B191" s="186" t="s">
        <v>1135</v>
      </c>
      <c r="C191" s="1">
        <v>519684</v>
      </c>
      <c r="D191" s="19" t="s">
        <v>938</v>
      </c>
      <c r="E191" s="74" t="s">
        <v>1152</v>
      </c>
      <c r="G191" s="20">
        <v>1564593630</v>
      </c>
      <c r="H191" s="20">
        <f>H190+Table1[[#This Row],[مبلغ ورود]]-Table1[[#This Row],[مبلغ خروج]]</f>
        <v>5853243699</v>
      </c>
      <c r="I191" s="216"/>
    </row>
    <row r="192" spans="1:9" ht="56.25">
      <c r="A192" s="1">
        <v>189</v>
      </c>
      <c r="B192" s="186" t="s">
        <v>1135</v>
      </c>
      <c r="C192" s="1">
        <v>519685</v>
      </c>
      <c r="D192" s="19" t="s">
        <v>938</v>
      </c>
      <c r="E192" s="74" t="s">
        <v>1153</v>
      </c>
      <c r="G192" s="20">
        <v>746053440</v>
      </c>
      <c r="H192" s="20">
        <f>H191+Table1[[#This Row],[مبلغ ورود]]-Table1[[#This Row],[مبلغ خروج]]</f>
        <v>5107190259</v>
      </c>
      <c r="I192" s="216"/>
    </row>
    <row r="193" spans="1:9" ht="37.5">
      <c r="A193" s="1">
        <v>190</v>
      </c>
      <c r="B193" s="186" t="s">
        <v>1135</v>
      </c>
      <c r="C193" s="1">
        <v>519686</v>
      </c>
      <c r="D193" s="19" t="s">
        <v>938</v>
      </c>
      <c r="E193" s="74" t="s">
        <v>1154</v>
      </c>
      <c r="G193" s="20">
        <v>285672000</v>
      </c>
      <c r="H193" s="20">
        <f>H192+Table1[[#This Row],[مبلغ ورود]]-Table1[[#This Row],[مبلغ خروج]]</f>
        <v>4821518259</v>
      </c>
      <c r="I193" s="216"/>
    </row>
    <row r="194" spans="1:9" ht="56.25">
      <c r="A194" s="1">
        <v>191</v>
      </c>
      <c r="B194" s="186" t="s">
        <v>1135</v>
      </c>
      <c r="C194" s="1">
        <v>519687</v>
      </c>
      <c r="D194" s="19" t="s">
        <v>938</v>
      </c>
      <c r="E194" s="74" t="s">
        <v>1155</v>
      </c>
      <c r="G194" s="20">
        <v>24797500</v>
      </c>
      <c r="H194" s="20">
        <f>H193+Table1[[#This Row],[مبلغ ورود]]-Table1[[#This Row],[مبلغ خروج]]</f>
        <v>4796720759</v>
      </c>
      <c r="I194" s="216"/>
    </row>
    <row r="195" spans="1:9" ht="21">
      <c r="A195" s="1">
        <v>192</v>
      </c>
      <c r="B195" s="186" t="s">
        <v>1135</v>
      </c>
      <c r="C195" s="1"/>
      <c r="E195" s="74" t="s">
        <v>1156</v>
      </c>
      <c r="F195" s="73">
        <v>6000000000</v>
      </c>
      <c r="H195" s="20">
        <f>H194+Table1[[#This Row],[مبلغ ورود]]-Table1[[#This Row],[مبلغ خروج]]</f>
        <v>10796720759</v>
      </c>
      <c r="I195" s="216"/>
    </row>
    <row r="196" spans="1:9" ht="37.5">
      <c r="A196" s="1">
        <v>193</v>
      </c>
      <c r="B196" s="186" t="s">
        <v>1157</v>
      </c>
      <c r="C196" s="1">
        <v>519688</v>
      </c>
      <c r="D196" s="19" t="s">
        <v>938</v>
      </c>
      <c r="E196" s="74" t="s">
        <v>793</v>
      </c>
      <c r="G196" s="20">
        <v>1000000000</v>
      </c>
      <c r="H196" s="20">
        <f>H195+Table1[[#This Row],[مبلغ ورود]]-Table1[[#This Row],[مبلغ خروج]]</f>
        <v>9796720759</v>
      </c>
      <c r="I196" s="216"/>
    </row>
    <row r="197" spans="1:9" ht="37.5">
      <c r="A197" s="1">
        <v>194</v>
      </c>
      <c r="B197" s="186" t="s">
        <v>1158</v>
      </c>
      <c r="C197" s="1">
        <v>519689</v>
      </c>
      <c r="D197" s="19" t="s">
        <v>938</v>
      </c>
      <c r="E197" s="74" t="s">
        <v>1159</v>
      </c>
      <c r="G197" s="20">
        <v>49536000</v>
      </c>
      <c r="H197" s="20">
        <f>H196+Table1[[#This Row],[مبلغ ورود]]-Table1[[#This Row],[مبلغ خروج]]</f>
        <v>9747184759</v>
      </c>
      <c r="I197" s="216"/>
    </row>
    <row r="198" spans="1:9" ht="37.5">
      <c r="A198" s="1">
        <v>195</v>
      </c>
      <c r="B198" s="186" t="s">
        <v>1158</v>
      </c>
      <c r="C198" s="1">
        <v>519690</v>
      </c>
      <c r="D198" s="19" t="s">
        <v>938</v>
      </c>
      <c r="E198" s="74" t="s">
        <v>793</v>
      </c>
      <c r="G198" s="20">
        <v>7000000000</v>
      </c>
      <c r="H198" s="20">
        <f>H197+Table1[[#This Row],[مبلغ ورود]]-Table1[[#This Row],[مبلغ خروج]]</f>
        <v>2747184759</v>
      </c>
      <c r="I198" s="216"/>
    </row>
    <row r="199" spans="1:9" ht="75">
      <c r="A199" s="1">
        <v>196</v>
      </c>
      <c r="B199" s="186" t="s">
        <v>1160</v>
      </c>
      <c r="C199" s="1">
        <v>519691</v>
      </c>
      <c r="D199" s="19" t="s">
        <v>938</v>
      </c>
      <c r="E199" s="74" t="s">
        <v>1161</v>
      </c>
      <c r="G199" s="20">
        <v>150000000</v>
      </c>
      <c r="H199" s="20">
        <f>H198+Table1[[#This Row],[مبلغ ورود]]-Table1[[#This Row],[مبلغ خروج]]</f>
        <v>2597184759</v>
      </c>
      <c r="I199" s="216"/>
    </row>
    <row r="200" spans="1:9" ht="37.5">
      <c r="A200" s="1">
        <v>197</v>
      </c>
      <c r="B200" s="186" t="s">
        <v>1160</v>
      </c>
      <c r="C200" s="1">
        <v>519692</v>
      </c>
      <c r="D200" s="19" t="s">
        <v>938</v>
      </c>
      <c r="E200" s="74" t="s">
        <v>1162</v>
      </c>
      <c r="G200" s="20">
        <v>543485600</v>
      </c>
      <c r="H200" s="20">
        <f>H199+Table1[[#This Row],[مبلغ ورود]]-Table1[[#This Row],[مبلغ خروج]]</f>
        <v>2053699159</v>
      </c>
      <c r="I200" s="216"/>
    </row>
    <row r="201" spans="1:9" ht="21">
      <c r="A201" s="1">
        <v>198</v>
      </c>
      <c r="B201" s="186" t="s">
        <v>1160</v>
      </c>
      <c r="C201" s="1">
        <v>519693</v>
      </c>
      <c r="D201" s="19" t="s">
        <v>938</v>
      </c>
      <c r="E201" s="74" t="s">
        <v>626</v>
      </c>
      <c r="H201" s="20">
        <f>H200+Table1[[#This Row],[مبلغ ورود]]-Table1[[#This Row],[مبلغ خروج]]</f>
        <v>2053699159</v>
      </c>
      <c r="I201" s="216"/>
    </row>
    <row r="202" spans="1:9" ht="56.25">
      <c r="A202" s="1">
        <v>199</v>
      </c>
      <c r="B202" s="186" t="s">
        <v>1163</v>
      </c>
      <c r="C202" s="1">
        <v>519694</v>
      </c>
      <c r="D202" s="19" t="s">
        <v>938</v>
      </c>
      <c r="E202" s="74" t="s">
        <v>1164</v>
      </c>
      <c r="G202" s="20">
        <v>322535251</v>
      </c>
      <c r="H202" s="20">
        <f>H201+Table1[[#This Row],[مبلغ ورود]]-Table1[[#This Row],[مبلغ خروج]]</f>
        <v>1731163908</v>
      </c>
      <c r="I202" s="216"/>
    </row>
    <row r="203" spans="1:9" ht="56.25">
      <c r="A203" s="1">
        <v>200</v>
      </c>
      <c r="B203" s="186" t="s">
        <v>1163</v>
      </c>
      <c r="C203" s="1">
        <v>519695</v>
      </c>
      <c r="D203" s="19" t="s">
        <v>938</v>
      </c>
      <c r="E203" s="74" t="s">
        <v>1165</v>
      </c>
      <c r="G203" s="20">
        <v>58202680</v>
      </c>
      <c r="H203" s="20">
        <f>H202+Table1[[#This Row],[مبلغ ورود]]-Table1[[#This Row],[مبلغ خروج]]</f>
        <v>1672961228</v>
      </c>
      <c r="I203" s="216"/>
    </row>
    <row r="204" spans="1:9" ht="21">
      <c r="A204" s="1">
        <v>201</v>
      </c>
      <c r="B204" s="186" t="s">
        <v>1143</v>
      </c>
      <c r="C204" s="1"/>
      <c r="E204" s="74" t="s">
        <v>1166</v>
      </c>
      <c r="F204" s="73">
        <v>1316424332</v>
      </c>
      <c r="H204" s="20">
        <f>H203+Table1[[#This Row],[مبلغ ورود]]-Table1[[#This Row],[مبلغ خروج]]</f>
        <v>2989385560</v>
      </c>
      <c r="I204" s="216"/>
    </row>
    <row r="205" spans="1:9" ht="56.25">
      <c r="A205" s="1">
        <v>202</v>
      </c>
      <c r="B205" s="186" t="s">
        <v>1167</v>
      </c>
      <c r="C205" s="1">
        <v>519696</v>
      </c>
      <c r="D205" s="19" t="s">
        <v>938</v>
      </c>
      <c r="E205" s="74" t="s">
        <v>1142</v>
      </c>
      <c r="G205" s="20">
        <v>200000000</v>
      </c>
      <c r="H205" s="20">
        <f>H204+Table1[[#This Row],[مبلغ ورود]]-Table1[[#This Row],[مبلغ خروج]]</f>
        <v>2789385560</v>
      </c>
      <c r="I205" s="216"/>
    </row>
    <row r="206" spans="1:9" ht="21">
      <c r="A206" s="1">
        <v>203</v>
      </c>
      <c r="B206" s="186" t="s">
        <v>1167</v>
      </c>
      <c r="C206" s="1">
        <v>519697</v>
      </c>
      <c r="D206" s="19" t="s">
        <v>938</v>
      </c>
      <c r="E206" s="74" t="s">
        <v>710</v>
      </c>
      <c r="G206" s="20">
        <v>150000000</v>
      </c>
      <c r="H206" s="20">
        <f>H205+Table1[[#This Row],[مبلغ ورود]]-Table1[[#This Row],[مبلغ خروج]]</f>
        <v>2639385560</v>
      </c>
      <c r="I206" s="216"/>
    </row>
    <row r="207" spans="1:9" ht="21">
      <c r="A207" s="1">
        <v>204</v>
      </c>
      <c r="B207" s="186" t="s">
        <v>1167</v>
      </c>
      <c r="C207" s="1"/>
      <c r="E207" s="74" t="s">
        <v>1168</v>
      </c>
      <c r="F207" s="73">
        <v>10000000000</v>
      </c>
      <c r="H207" s="20">
        <f>H206+Table1[[#This Row],[مبلغ ورود]]-Table1[[#This Row],[مبلغ خروج]]</f>
        <v>12639385560</v>
      </c>
      <c r="I207" s="216"/>
    </row>
    <row r="208" spans="1:9" ht="37.5">
      <c r="A208" s="1">
        <v>205</v>
      </c>
      <c r="B208" s="186" t="s">
        <v>1169</v>
      </c>
      <c r="C208" s="1">
        <v>519698</v>
      </c>
      <c r="D208" s="19" t="s">
        <v>938</v>
      </c>
      <c r="E208" s="74" t="s">
        <v>1170</v>
      </c>
      <c r="G208" s="20">
        <v>934040000</v>
      </c>
      <c r="H208" s="20">
        <f>H207+Table1[[#This Row],[مبلغ ورود]]-Table1[[#This Row],[مبلغ خروج]]</f>
        <v>11705345560</v>
      </c>
      <c r="I208" s="216"/>
    </row>
    <row r="209" spans="1:9" ht="37.5">
      <c r="A209" s="1">
        <v>206</v>
      </c>
      <c r="B209" s="186" t="s">
        <v>1169</v>
      </c>
      <c r="C209" s="1">
        <v>519699</v>
      </c>
      <c r="D209" s="19" t="s">
        <v>938</v>
      </c>
      <c r="E209" s="74" t="s">
        <v>793</v>
      </c>
      <c r="G209" s="20">
        <v>5000000000</v>
      </c>
      <c r="H209" s="20">
        <f>H208+Table1[[#This Row],[مبلغ ورود]]-Table1[[#This Row],[مبلغ خروج]]</f>
        <v>6705345560</v>
      </c>
      <c r="I209" s="216"/>
    </row>
    <row r="210" spans="1:9" ht="37.5">
      <c r="A210" s="1">
        <v>207</v>
      </c>
      <c r="B210" s="186" t="s">
        <v>1169</v>
      </c>
      <c r="C210" s="1">
        <v>519700</v>
      </c>
      <c r="D210" s="19" t="s">
        <v>938</v>
      </c>
      <c r="E210" s="74" t="s">
        <v>1171</v>
      </c>
      <c r="G210" s="20">
        <v>722815200</v>
      </c>
      <c r="H210" s="20">
        <f>H209+Table1[[#This Row],[مبلغ ورود]]-Table1[[#This Row],[مبلغ خروج]]</f>
        <v>5982530360</v>
      </c>
      <c r="I210" s="216"/>
    </row>
    <row r="211" spans="1:9" ht="56.25">
      <c r="A211" s="1">
        <v>208</v>
      </c>
      <c r="B211" s="186" t="s">
        <v>1169</v>
      </c>
      <c r="C211" s="1">
        <v>738701</v>
      </c>
      <c r="D211" s="19" t="s">
        <v>938</v>
      </c>
      <c r="E211" s="74" t="s">
        <v>1172</v>
      </c>
      <c r="G211" s="20">
        <v>325025400</v>
      </c>
      <c r="H211" s="20">
        <f>H210+Table1[[#This Row],[مبلغ ورود]]-Table1[[#This Row],[مبلغ خروج]]</f>
        <v>5657504960</v>
      </c>
      <c r="I211" s="216"/>
    </row>
    <row r="212" spans="1:9" ht="56.25">
      <c r="A212" s="1">
        <v>209</v>
      </c>
      <c r="B212" s="186" t="s">
        <v>1169</v>
      </c>
      <c r="C212" s="1">
        <v>738702</v>
      </c>
      <c r="D212" s="19" t="s">
        <v>938</v>
      </c>
      <c r="E212" s="74" t="s">
        <v>1173</v>
      </c>
      <c r="G212" s="20">
        <v>88000000</v>
      </c>
      <c r="H212" s="20">
        <f>H211+Table1[[#This Row],[مبلغ ورود]]-Table1[[#This Row],[مبلغ خروج]]</f>
        <v>5569504960</v>
      </c>
      <c r="I212" s="216"/>
    </row>
    <row r="213" spans="1:9" ht="56.25">
      <c r="A213" s="1">
        <v>210</v>
      </c>
      <c r="B213" s="186" t="s">
        <v>1169</v>
      </c>
      <c r="C213" s="1">
        <v>738703</v>
      </c>
      <c r="D213" s="19" t="s">
        <v>938</v>
      </c>
      <c r="E213" s="74" t="s">
        <v>1174</v>
      </c>
      <c r="G213" s="20">
        <v>16459000</v>
      </c>
      <c r="H213" s="20">
        <f>H212+Table1[[#This Row],[مبلغ ورود]]-Table1[[#This Row],[مبلغ خروج]]</f>
        <v>5553045960</v>
      </c>
      <c r="I213" s="216"/>
    </row>
    <row r="214" spans="1:9" ht="56.25">
      <c r="A214" s="1">
        <v>211</v>
      </c>
      <c r="B214" s="186" t="s">
        <v>1169</v>
      </c>
      <c r="C214" s="1">
        <v>738704</v>
      </c>
      <c r="D214" s="19" t="s">
        <v>938</v>
      </c>
      <c r="E214" s="74" t="s">
        <v>1142</v>
      </c>
      <c r="G214" s="20">
        <v>300000000</v>
      </c>
      <c r="H214" s="20">
        <f>H213+Table1[[#This Row],[مبلغ ورود]]-Table1[[#This Row],[مبلغ خروج]]</f>
        <v>5253045960</v>
      </c>
      <c r="I214" s="216"/>
    </row>
    <row r="215" spans="1:9" ht="37.5">
      <c r="A215" s="1">
        <v>212</v>
      </c>
      <c r="B215" s="186" t="s">
        <v>1175</v>
      </c>
      <c r="C215" s="1">
        <v>738705</v>
      </c>
      <c r="D215" s="19" t="s">
        <v>938</v>
      </c>
      <c r="E215" s="74" t="s">
        <v>1176</v>
      </c>
      <c r="G215" s="20">
        <v>500000000</v>
      </c>
      <c r="H215" s="20">
        <f>H214+Table1[[#This Row],[مبلغ ورود]]-Table1[[#This Row],[مبلغ خروج]]</f>
        <v>4753045960</v>
      </c>
      <c r="I215" s="216"/>
    </row>
    <row r="216" spans="1:9" ht="37.5">
      <c r="A216" s="1">
        <v>213</v>
      </c>
      <c r="B216" s="186" t="s">
        <v>1175</v>
      </c>
      <c r="C216" s="1">
        <v>738707</v>
      </c>
      <c r="D216" s="19" t="s">
        <v>938</v>
      </c>
      <c r="E216" s="74" t="s">
        <v>1177</v>
      </c>
      <c r="G216" s="20">
        <v>11035270</v>
      </c>
      <c r="H216" s="20">
        <f>H215+Table1[[#This Row],[مبلغ ورود]]-Table1[[#This Row],[مبلغ خروج]]</f>
        <v>4742010690</v>
      </c>
      <c r="I216" s="216"/>
    </row>
    <row r="217" spans="1:9" ht="37.5">
      <c r="A217" s="1">
        <v>214</v>
      </c>
      <c r="B217" s="186" t="s">
        <v>1175</v>
      </c>
      <c r="C217" s="1">
        <v>738708</v>
      </c>
      <c r="D217" s="19" t="s">
        <v>938</v>
      </c>
      <c r="E217" s="74" t="s">
        <v>793</v>
      </c>
      <c r="G217" s="20">
        <v>1200000000</v>
      </c>
      <c r="H217" s="20">
        <f>H216+Table1[[#This Row],[مبلغ ورود]]-Table1[[#This Row],[مبلغ خروج]]</f>
        <v>3542010690</v>
      </c>
      <c r="I217" s="216"/>
    </row>
    <row r="218" spans="1:9" ht="21">
      <c r="A218" s="1">
        <v>215</v>
      </c>
      <c r="B218" s="186" t="s">
        <v>1175</v>
      </c>
      <c r="C218" s="1">
        <v>738706</v>
      </c>
      <c r="D218" s="19" t="s">
        <v>938</v>
      </c>
      <c r="E218" s="74" t="s">
        <v>626</v>
      </c>
      <c r="H218" s="20">
        <f>H217+Table1[[#This Row],[مبلغ ورود]]-Table1[[#This Row],[مبلغ خروج]]</f>
        <v>3542010690</v>
      </c>
      <c r="I218" s="216"/>
    </row>
    <row r="219" spans="1:9" ht="37.5">
      <c r="A219" s="1">
        <v>216</v>
      </c>
      <c r="B219" s="186" t="s">
        <v>1175</v>
      </c>
      <c r="C219" s="1">
        <v>738709</v>
      </c>
      <c r="D219" s="19" t="s">
        <v>938</v>
      </c>
      <c r="E219" s="74" t="s">
        <v>793</v>
      </c>
      <c r="G219" s="20">
        <v>4500000000</v>
      </c>
      <c r="H219" s="20">
        <f>H218+Table1[[#This Row],[مبلغ ورود]]-Table1[[#This Row],[مبلغ خروج]]</f>
        <v>-957989310</v>
      </c>
      <c r="I219" s="216"/>
    </row>
    <row r="220" spans="1:9" ht="56.25">
      <c r="A220" s="1">
        <v>217</v>
      </c>
      <c r="B220" s="186" t="s">
        <v>1178</v>
      </c>
      <c r="C220" s="1">
        <v>738710</v>
      </c>
      <c r="D220" s="19" t="s">
        <v>938</v>
      </c>
      <c r="E220" s="74" t="s">
        <v>1179</v>
      </c>
      <c r="G220" s="20">
        <v>1182200000</v>
      </c>
      <c r="H220" s="20">
        <f>H219+Table1[[#This Row],[مبلغ ورود]]-Table1[[#This Row],[مبلغ خروج]]</f>
        <v>-2140189310</v>
      </c>
      <c r="I220" s="216"/>
    </row>
    <row r="221" spans="1:9" ht="21">
      <c r="A221" s="1">
        <v>218</v>
      </c>
      <c r="B221" s="186" t="s">
        <v>1169</v>
      </c>
      <c r="C221" s="1"/>
      <c r="D221" s="19" t="s">
        <v>938</v>
      </c>
      <c r="E221" s="74" t="s">
        <v>1180</v>
      </c>
      <c r="F221" s="73">
        <v>5000000000</v>
      </c>
      <c r="H221" s="20">
        <f>H220+Table1[[#This Row],[مبلغ ورود]]-Table1[[#This Row],[مبلغ خروج]]</f>
        <v>2859810690</v>
      </c>
      <c r="I221" s="216"/>
    </row>
    <row r="222" spans="1:9" ht="37.5">
      <c r="A222" s="1">
        <v>219</v>
      </c>
      <c r="B222" s="186" t="s">
        <v>1178</v>
      </c>
      <c r="C222" s="1">
        <v>738711</v>
      </c>
      <c r="D222" s="19" t="s">
        <v>938</v>
      </c>
      <c r="E222" s="74" t="s">
        <v>1181</v>
      </c>
      <c r="G222" s="20">
        <v>141700000</v>
      </c>
      <c r="H222" s="20">
        <f>H221+Table1[[#This Row],[مبلغ ورود]]-Table1[[#This Row],[مبلغ خروج]]</f>
        <v>2718110690</v>
      </c>
      <c r="I222" s="216"/>
    </row>
    <row r="223" spans="1:9" ht="21">
      <c r="A223" s="1">
        <v>220</v>
      </c>
      <c r="B223" s="186" t="s">
        <v>1178</v>
      </c>
      <c r="C223" s="1">
        <v>738712</v>
      </c>
      <c r="D223" s="19" t="s">
        <v>938</v>
      </c>
      <c r="E223" s="74" t="s">
        <v>1478</v>
      </c>
      <c r="G223" s="20">
        <v>0</v>
      </c>
      <c r="H223" s="20">
        <f>H222+Table1[[#This Row],[مبلغ ورود]]-Table1[[#This Row],[مبلغ خروج]]</f>
        <v>2718110690</v>
      </c>
      <c r="I223" s="216"/>
    </row>
    <row r="224" spans="1:9" ht="37.5">
      <c r="A224" s="1">
        <v>221</v>
      </c>
      <c r="B224" s="186" t="s">
        <v>1178</v>
      </c>
      <c r="C224" s="1">
        <v>738713</v>
      </c>
      <c r="D224" s="19" t="s">
        <v>938</v>
      </c>
      <c r="E224" s="74" t="s">
        <v>793</v>
      </c>
      <c r="G224" s="20">
        <v>1000000000</v>
      </c>
      <c r="H224" s="20">
        <f>H223+Table1[[#This Row],[مبلغ ورود]]-Table1[[#This Row],[مبلغ خروج]]</f>
        <v>1718110690</v>
      </c>
      <c r="I224" s="216"/>
    </row>
    <row r="225" spans="1:9" ht="21">
      <c r="A225" s="1">
        <v>222</v>
      </c>
      <c r="B225" s="186" t="s">
        <v>1178</v>
      </c>
      <c r="C225" s="1"/>
      <c r="E225" s="74" t="s">
        <v>1182</v>
      </c>
      <c r="F225" s="73">
        <v>50000000000</v>
      </c>
      <c r="H225" s="20">
        <f>H224+Table1[[#This Row],[مبلغ ورود]]-Table1[[#This Row],[مبلغ خروج]]</f>
        <v>51718110690</v>
      </c>
      <c r="I225" s="216"/>
    </row>
    <row r="226" spans="1:9" ht="21">
      <c r="A226" s="1">
        <v>223</v>
      </c>
      <c r="B226" s="186" t="s">
        <v>1178</v>
      </c>
      <c r="C226" s="1"/>
      <c r="E226" s="74" t="s">
        <v>1180</v>
      </c>
      <c r="F226" s="73">
        <v>5000000000</v>
      </c>
      <c r="H226" s="20">
        <f>H225+Table1[[#This Row],[مبلغ ورود]]-Table1[[#This Row],[مبلغ خروج]]</f>
        <v>56718110690</v>
      </c>
      <c r="I226" s="216"/>
    </row>
    <row r="227" spans="1:9" ht="21">
      <c r="A227" s="1">
        <v>224</v>
      </c>
      <c r="B227" s="186" t="s">
        <v>1178</v>
      </c>
      <c r="C227" s="1">
        <v>738715</v>
      </c>
      <c r="D227" s="19" t="s">
        <v>938</v>
      </c>
      <c r="E227" s="74" t="s">
        <v>710</v>
      </c>
      <c r="G227" s="20">
        <v>10000000000</v>
      </c>
      <c r="H227" s="20">
        <f>H226+Table1[[#This Row],[مبلغ ورود]]-Table1[[#This Row],[مبلغ خروج]]</f>
        <v>46718110690</v>
      </c>
      <c r="I227" s="216"/>
    </row>
    <row r="228" spans="1:9" ht="21">
      <c r="A228" s="1">
        <v>225</v>
      </c>
      <c r="B228" s="186" t="s">
        <v>1178</v>
      </c>
      <c r="C228" s="1">
        <v>738714</v>
      </c>
      <c r="D228" s="19" t="s">
        <v>938</v>
      </c>
      <c r="E228" s="74" t="s">
        <v>626</v>
      </c>
      <c r="H228" s="20">
        <f>H227+Table1[[#This Row],[مبلغ ورود]]-Table1[[#This Row],[مبلغ خروج]]</f>
        <v>46718110690</v>
      </c>
      <c r="I228" s="216"/>
    </row>
    <row r="229" spans="1:9" ht="37.5">
      <c r="A229" s="1">
        <v>226</v>
      </c>
      <c r="B229" s="186" t="s">
        <v>1183</v>
      </c>
      <c r="C229" s="1">
        <v>738716</v>
      </c>
      <c r="D229" s="19" t="s">
        <v>938</v>
      </c>
      <c r="E229" s="74" t="s">
        <v>1184</v>
      </c>
      <c r="G229" s="20">
        <v>381500000</v>
      </c>
      <c r="H229" s="20">
        <f>H228+Table1[[#This Row],[مبلغ ورود]]-Table1[[#This Row],[مبلغ خروج]]</f>
        <v>46336610690</v>
      </c>
      <c r="I229" s="216"/>
    </row>
    <row r="230" spans="1:9" ht="56.25">
      <c r="A230" s="1">
        <v>227</v>
      </c>
      <c r="B230" s="186" t="s">
        <v>1185</v>
      </c>
      <c r="C230" s="1">
        <v>738717</v>
      </c>
      <c r="D230" s="19" t="s">
        <v>938</v>
      </c>
      <c r="E230" s="74" t="s">
        <v>1186</v>
      </c>
      <c r="G230" s="20">
        <v>137500000</v>
      </c>
      <c r="H230" s="20">
        <f>H229+Table1[[#This Row],[مبلغ ورود]]-Table1[[#This Row],[مبلغ خروج]]</f>
        <v>46199110690</v>
      </c>
      <c r="I230" s="216"/>
    </row>
    <row r="231" spans="1:9" ht="56.25">
      <c r="A231" s="1">
        <v>228</v>
      </c>
      <c r="B231" s="186" t="s">
        <v>1185</v>
      </c>
      <c r="C231" s="1">
        <v>738718</v>
      </c>
      <c r="D231" s="19" t="s">
        <v>938</v>
      </c>
      <c r="E231" s="74" t="s">
        <v>1187</v>
      </c>
      <c r="G231" s="20">
        <v>26160000</v>
      </c>
      <c r="H231" s="20">
        <f>H230+Table1[[#This Row],[مبلغ ورود]]-Table1[[#This Row],[مبلغ خروج]]</f>
        <v>46172950690</v>
      </c>
      <c r="I231" s="216"/>
    </row>
    <row r="232" spans="1:9" ht="37.5">
      <c r="A232" s="1">
        <v>229</v>
      </c>
      <c r="B232" s="186" t="s">
        <v>1185</v>
      </c>
      <c r="C232" s="1">
        <v>738719</v>
      </c>
      <c r="D232" s="19" t="s">
        <v>938</v>
      </c>
      <c r="E232" s="74" t="s">
        <v>1188</v>
      </c>
      <c r="G232" s="20">
        <v>1988546950</v>
      </c>
      <c r="H232" s="20">
        <f>H231+Table1[[#This Row],[مبلغ ورود]]-Table1[[#This Row],[مبلغ خروج]]</f>
        <v>44184403740</v>
      </c>
      <c r="I232" s="216"/>
    </row>
    <row r="233" spans="1:9" ht="21">
      <c r="A233" s="1">
        <v>230</v>
      </c>
      <c r="B233" s="186" t="s">
        <v>1185</v>
      </c>
      <c r="C233" s="1"/>
      <c r="E233" s="74" t="s">
        <v>1182</v>
      </c>
      <c r="F233" s="73">
        <v>60000000000</v>
      </c>
      <c r="H233" s="20">
        <f>H232+Table1[[#This Row],[مبلغ ورود]]-Table1[[#This Row],[مبلغ خروج]]</f>
        <v>104184403740</v>
      </c>
      <c r="I233" s="216"/>
    </row>
    <row r="234" spans="1:9" ht="56.25">
      <c r="A234" s="1">
        <v>231</v>
      </c>
      <c r="B234" s="186" t="s">
        <v>1189</v>
      </c>
      <c r="C234" s="1">
        <v>738721</v>
      </c>
      <c r="D234" s="19" t="s">
        <v>938</v>
      </c>
      <c r="E234" s="74" t="s">
        <v>1190</v>
      </c>
      <c r="G234" s="20">
        <v>14800000000</v>
      </c>
      <c r="H234" s="20">
        <f>H233+Table1[[#This Row],[مبلغ ورود]]-Table1[[#This Row],[مبلغ خروج]]</f>
        <v>89384403740</v>
      </c>
      <c r="I234" s="216"/>
    </row>
    <row r="235" spans="1:9" ht="21">
      <c r="A235" s="1">
        <v>232</v>
      </c>
      <c r="B235" s="186"/>
      <c r="C235" s="1">
        <v>738720</v>
      </c>
      <c r="D235" s="19" t="s">
        <v>938</v>
      </c>
      <c r="E235" s="74" t="s">
        <v>626</v>
      </c>
      <c r="H235" s="20">
        <f>H234+Table1[[#This Row],[مبلغ ورود]]-Table1[[#This Row],[مبلغ خروج]]</f>
        <v>89384403740</v>
      </c>
      <c r="I235" s="216"/>
    </row>
    <row r="236" spans="1:9" ht="37.5">
      <c r="A236" s="1">
        <v>233</v>
      </c>
      <c r="B236" s="186" t="s">
        <v>1191</v>
      </c>
      <c r="C236" s="1">
        <v>728722</v>
      </c>
      <c r="D236" s="19" t="s">
        <v>938</v>
      </c>
      <c r="E236" s="74" t="s">
        <v>1192</v>
      </c>
      <c r="G236" s="20">
        <v>1162352960</v>
      </c>
      <c r="H236" s="20">
        <f>H235+Table1[[#This Row],[مبلغ ورود]]-Table1[[#This Row],[مبلغ خروج]]</f>
        <v>88222050780</v>
      </c>
      <c r="I236" s="216"/>
    </row>
    <row r="237" spans="1:9" ht="37.5">
      <c r="A237" s="1">
        <v>234</v>
      </c>
      <c r="B237" s="186" t="s">
        <v>1191</v>
      </c>
      <c r="C237" s="1">
        <v>728723</v>
      </c>
      <c r="D237" s="19" t="s">
        <v>938</v>
      </c>
      <c r="E237" s="74" t="s">
        <v>1193</v>
      </c>
      <c r="G237" s="20">
        <v>69545000</v>
      </c>
      <c r="H237" s="20">
        <f>H236+Table1[[#This Row],[مبلغ ورود]]-Table1[[#This Row],[مبلغ خروج]]</f>
        <v>88152505780</v>
      </c>
      <c r="I237" s="216"/>
    </row>
    <row r="238" spans="1:9" ht="37.5">
      <c r="A238" s="1">
        <v>235</v>
      </c>
      <c r="B238" s="186" t="s">
        <v>1191</v>
      </c>
      <c r="C238" s="1">
        <v>728724</v>
      </c>
      <c r="D238" s="19" t="s">
        <v>938</v>
      </c>
      <c r="E238" s="74" t="s">
        <v>1195</v>
      </c>
      <c r="G238" s="20">
        <v>1050000000</v>
      </c>
      <c r="H238" s="20">
        <f>H237+Table1[[#This Row],[مبلغ ورود]]-Table1[[#This Row],[مبلغ خروج]]</f>
        <v>87102505780</v>
      </c>
      <c r="I238" s="216"/>
    </row>
    <row r="239" spans="1:9" ht="56.25">
      <c r="A239" s="1">
        <v>236</v>
      </c>
      <c r="B239" s="186" t="s">
        <v>1191</v>
      </c>
      <c r="C239" s="1">
        <v>728725</v>
      </c>
      <c r="D239" s="19" t="s">
        <v>938</v>
      </c>
      <c r="E239" s="74" t="s">
        <v>1194</v>
      </c>
      <c r="G239" s="20">
        <v>237759060</v>
      </c>
      <c r="H239" s="20">
        <f>H238+Table1[[#This Row],[مبلغ ورود]]-Table1[[#This Row],[مبلغ خروج]]</f>
        <v>86864746720</v>
      </c>
      <c r="I239" s="216"/>
    </row>
    <row r="240" spans="1:9" ht="75">
      <c r="A240" s="1">
        <v>237</v>
      </c>
      <c r="B240" s="186" t="s">
        <v>1196</v>
      </c>
      <c r="C240" s="1">
        <v>728726</v>
      </c>
      <c r="D240" s="19" t="s">
        <v>938</v>
      </c>
      <c r="E240" s="74" t="s">
        <v>1197</v>
      </c>
      <c r="G240" s="20">
        <v>150000000</v>
      </c>
      <c r="H240" s="20">
        <f>H239+Table1[[#This Row],[مبلغ ورود]]-Table1[[#This Row],[مبلغ خروج]]</f>
        <v>86714746720</v>
      </c>
      <c r="I240" s="216"/>
    </row>
    <row r="241" spans="1:9" ht="56.25">
      <c r="A241" s="1">
        <v>238</v>
      </c>
      <c r="B241" s="186" t="s">
        <v>1196</v>
      </c>
      <c r="C241" s="1">
        <v>728727</v>
      </c>
      <c r="D241" s="19" t="s">
        <v>938</v>
      </c>
      <c r="E241" s="74" t="s">
        <v>1198</v>
      </c>
      <c r="G241" s="20">
        <v>2717880000</v>
      </c>
      <c r="H241" s="20">
        <f>H240+Table1[[#This Row],[مبلغ ورود]]-Table1[[#This Row],[مبلغ خروج]]</f>
        <v>83996866720</v>
      </c>
      <c r="I241" s="216"/>
    </row>
    <row r="242" spans="1:9" ht="21">
      <c r="A242" s="1">
        <v>239</v>
      </c>
      <c r="B242" s="186" t="s">
        <v>1199</v>
      </c>
      <c r="C242" s="1">
        <v>728728</v>
      </c>
      <c r="D242" s="19" t="s">
        <v>938</v>
      </c>
      <c r="E242" s="74" t="s">
        <v>710</v>
      </c>
      <c r="G242" s="20">
        <v>42500000000</v>
      </c>
      <c r="H242" s="20">
        <f>H241+Table1[[#This Row],[مبلغ ورود]]-Table1[[#This Row],[مبلغ خروج]]</f>
        <v>41496866720</v>
      </c>
      <c r="I242" s="216"/>
    </row>
    <row r="243" spans="1:9" ht="56.25">
      <c r="A243" s="1">
        <v>240</v>
      </c>
      <c r="B243" s="186" t="s">
        <v>1199</v>
      </c>
      <c r="C243" s="1">
        <v>728729</v>
      </c>
      <c r="D243" s="19" t="s">
        <v>938</v>
      </c>
      <c r="E243" s="74" t="s">
        <v>1200</v>
      </c>
      <c r="G243" s="20">
        <v>275421640</v>
      </c>
      <c r="H243" s="20">
        <f>H242+Table1[[#This Row],[مبلغ ورود]]-Table1[[#This Row],[مبلغ خروج]]</f>
        <v>41221445080</v>
      </c>
      <c r="I243" s="216"/>
    </row>
    <row r="244" spans="1:9" ht="56.25">
      <c r="A244" s="1">
        <v>241</v>
      </c>
      <c r="B244" s="186" t="s">
        <v>1201</v>
      </c>
      <c r="C244" s="1">
        <v>728730</v>
      </c>
      <c r="D244" s="19" t="s">
        <v>938</v>
      </c>
      <c r="E244" s="74" t="s">
        <v>1202</v>
      </c>
      <c r="G244" s="20">
        <v>3108394000</v>
      </c>
      <c r="H244" s="20">
        <f>H243+Table1[[#This Row],[مبلغ ورود]]-Table1[[#This Row],[مبلغ خروج]]</f>
        <v>38113051080</v>
      </c>
      <c r="I244" s="216"/>
    </row>
    <row r="245" spans="1:9" ht="21">
      <c r="A245" s="1">
        <v>242</v>
      </c>
      <c r="B245" s="186" t="s">
        <v>1201</v>
      </c>
      <c r="C245" s="1">
        <v>728731</v>
      </c>
      <c r="D245" s="19" t="s">
        <v>938</v>
      </c>
      <c r="E245" s="74" t="s">
        <v>710</v>
      </c>
      <c r="G245" s="20">
        <v>10000000000</v>
      </c>
      <c r="H245" s="20">
        <f>H244+Table1[[#This Row],[مبلغ ورود]]-Table1[[#This Row],[مبلغ خروج]]</f>
        <v>28113051080</v>
      </c>
      <c r="I245" s="216"/>
    </row>
    <row r="246" spans="1:9" ht="56.25">
      <c r="A246" s="1">
        <v>243</v>
      </c>
      <c r="B246" s="186" t="s">
        <v>1203</v>
      </c>
      <c r="C246" s="1">
        <v>728732</v>
      </c>
      <c r="D246" s="19" t="s">
        <v>938</v>
      </c>
      <c r="E246" s="74" t="s">
        <v>1204</v>
      </c>
      <c r="G246" s="20">
        <v>72000000</v>
      </c>
      <c r="H246" s="20">
        <f>H245+Table1[[#This Row],[مبلغ ورود]]-Table1[[#This Row],[مبلغ خروج]]</f>
        <v>28041051080</v>
      </c>
      <c r="I246" s="216"/>
    </row>
    <row r="247" spans="1:9" ht="56.25">
      <c r="A247" s="1">
        <v>244</v>
      </c>
      <c r="B247" s="186" t="s">
        <v>1203</v>
      </c>
      <c r="C247" s="1">
        <v>728733</v>
      </c>
      <c r="D247" s="19" t="s">
        <v>938</v>
      </c>
      <c r="E247" s="74" t="s">
        <v>1205</v>
      </c>
      <c r="G247" s="20">
        <v>705012000</v>
      </c>
      <c r="H247" s="20">
        <f>H246+Table1[[#This Row],[مبلغ ورود]]-Table1[[#This Row],[مبلغ خروج]]</f>
        <v>27336039080</v>
      </c>
      <c r="I247" s="216"/>
    </row>
    <row r="248" spans="1:9" ht="21">
      <c r="A248" s="1">
        <v>245</v>
      </c>
      <c r="B248" s="186" t="s">
        <v>1206</v>
      </c>
      <c r="C248" s="1"/>
      <c r="E248" s="74" t="s">
        <v>1128</v>
      </c>
      <c r="F248" s="73">
        <v>20000000000</v>
      </c>
      <c r="H248" s="20">
        <f>H247+Table1[[#This Row],[مبلغ ورود]]-Table1[[#This Row],[مبلغ خروج]]</f>
        <v>47336039080</v>
      </c>
      <c r="I248" s="216"/>
    </row>
    <row r="249" spans="1:9" ht="37.5">
      <c r="A249" s="1">
        <v>246</v>
      </c>
      <c r="B249" s="186" t="s">
        <v>1203</v>
      </c>
      <c r="C249" s="1">
        <v>728736</v>
      </c>
      <c r="D249" s="19" t="s">
        <v>938</v>
      </c>
      <c r="E249" s="74" t="s">
        <v>1207</v>
      </c>
      <c r="G249" s="20">
        <v>16601355000</v>
      </c>
      <c r="H249" s="20">
        <f>H248+Table1[[#This Row],[مبلغ ورود]]-Table1[[#This Row],[مبلغ خروج]]</f>
        <v>30734684080</v>
      </c>
      <c r="I249" s="216"/>
    </row>
    <row r="250" spans="1:9" ht="56.25">
      <c r="A250" s="1">
        <v>247</v>
      </c>
      <c r="B250" s="186" t="s">
        <v>1203</v>
      </c>
      <c r="C250" s="1">
        <v>728735</v>
      </c>
      <c r="D250" s="19" t="s">
        <v>938</v>
      </c>
      <c r="E250" s="74" t="s">
        <v>1208</v>
      </c>
      <c r="G250" s="20">
        <v>44233000</v>
      </c>
      <c r="H250" s="20">
        <f>H249+Table1[[#This Row],[مبلغ ورود]]-Table1[[#This Row],[مبلغ خروج]]</f>
        <v>30690451080</v>
      </c>
      <c r="I250" s="216"/>
    </row>
    <row r="251" spans="1:9" ht="21">
      <c r="A251" s="1">
        <v>248</v>
      </c>
      <c r="B251" s="186"/>
      <c r="C251" s="1">
        <v>738733</v>
      </c>
      <c r="D251" s="19" t="s">
        <v>938</v>
      </c>
      <c r="E251" s="74" t="s">
        <v>626</v>
      </c>
      <c r="H251" s="20">
        <f>H250+Table1[[#This Row],[مبلغ ورود]]-Table1[[#This Row],[مبلغ خروج]]</f>
        <v>30690451080</v>
      </c>
      <c r="I251" s="216"/>
    </row>
    <row r="252" spans="1:9" ht="37.5">
      <c r="A252" s="1">
        <v>249</v>
      </c>
      <c r="B252" s="186" t="s">
        <v>1209</v>
      </c>
      <c r="C252" s="1">
        <v>738737</v>
      </c>
      <c r="D252" s="19" t="s">
        <v>938</v>
      </c>
      <c r="E252" s="74" t="s">
        <v>1210</v>
      </c>
      <c r="G252" s="20">
        <v>800300817</v>
      </c>
      <c r="H252" s="20">
        <f>H251+Table1[[#This Row],[مبلغ ورود]]-Table1[[#This Row],[مبلغ خروج]]</f>
        <v>29890150263</v>
      </c>
      <c r="I252" s="216"/>
    </row>
    <row r="253" spans="1:9" ht="37.5">
      <c r="A253" s="1">
        <v>250</v>
      </c>
      <c r="B253" s="186" t="s">
        <v>1209</v>
      </c>
      <c r="C253" s="1">
        <v>738738</v>
      </c>
      <c r="D253" s="19" t="s">
        <v>938</v>
      </c>
      <c r="E253" s="74" t="s">
        <v>1211</v>
      </c>
      <c r="G253" s="20">
        <v>737784279</v>
      </c>
      <c r="H253" s="20">
        <f>H252+Table1[[#This Row],[مبلغ ورود]]-Table1[[#This Row],[مبلغ خروج]]</f>
        <v>29152365984</v>
      </c>
      <c r="I253" s="216"/>
    </row>
    <row r="254" spans="1:9" ht="37.5">
      <c r="A254" s="1">
        <v>251</v>
      </c>
      <c r="B254" s="186" t="s">
        <v>1209</v>
      </c>
      <c r="C254" s="1">
        <v>738739</v>
      </c>
      <c r="D254" s="19" t="s">
        <v>938</v>
      </c>
      <c r="E254" s="151" t="s">
        <v>1212</v>
      </c>
      <c r="G254" s="20">
        <v>3000000000</v>
      </c>
      <c r="H254" s="20">
        <f>H253+Table1[[#This Row],[مبلغ ورود]]-Table1[[#This Row],[مبلغ خروج]]</f>
        <v>26152365984</v>
      </c>
      <c r="I254" s="216"/>
    </row>
    <row r="255" spans="1:9" ht="21">
      <c r="A255" s="1">
        <v>252</v>
      </c>
      <c r="B255" s="186" t="s">
        <v>1209</v>
      </c>
      <c r="C255" s="1">
        <v>738740</v>
      </c>
      <c r="D255" s="19" t="s">
        <v>938</v>
      </c>
      <c r="E255" s="74" t="s">
        <v>710</v>
      </c>
      <c r="G255" s="20">
        <v>5000000000</v>
      </c>
      <c r="H255" s="20">
        <f>H254+Table1[[#This Row],[مبلغ ورود]]-Table1[[#This Row],[مبلغ خروج]]</f>
        <v>21152365984</v>
      </c>
      <c r="I255" s="216"/>
    </row>
    <row r="256" spans="1:9" ht="37.5">
      <c r="A256" s="1">
        <v>253</v>
      </c>
      <c r="B256" s="186" t="s">
        <v>1209</v>
      </c>
      <c r="C256" s="1">
        <v>738741</v>
      </c>
      <c r="D256" s="19" t="s">
        <v>938</v>
      </c>
      <c r="E256" s="74" t="s">
        <v>1213</v>
      </c>
      <c r="G256" s="20">
        <v>2370000000</v>
      </c>
      <c r="H256" s="20">
        <f>H255+Table1[[#This Row],[مبلغ ورود]]-Table1[[#This Row],[مبلغ خروج]]</f>
        <v>18782365984</v>
      </c>
      <c r="I256" s="216"/>
    </row>
    <row r="257" spans="1:9" ht="56.25">
      <c r="A257" s="1">
        <v>254</v>
      </c>
      <c r="B257" s="186" t="s">
        <v>1209</v>
      </c>
      <c r="C257" s="1">
        <v>738742</v>
      </c>
      <c r="D257" s="19" t="s">
        <v>938</v>
      </c>
      <c r="E257" s="74" t="s">
        <v>1214</v>
      </c>
      <c r="G257" s="20">
        <v>157750000</v>
      </c>
      <c r="H257" s="20">
        <f>H256+Table1[[#This Row],[مبلغ ورود]]-Table1[[#This Row],[مبلغ خروج]]</f>
        <v>18624615984</v>
      </c>
      <c r="I257" s="216"/>
    </row>
    <row r="258" spans="1:9" ht="56.25">
      <c r="A258" s="1">
        <v>255</v>
      </c>
      <c r="B258" s="186" t="s">
        <v>1209</v>
      </c>
      <c r="C258" s="1">
        <v>738743</v>
      </c>
      <c r="D258" s="19" t="s">
        <v>938</v>
      </c>
      <c r="E258" s="74" t="s">
        <v>1215</v>
      </c>
      <c r="G258" s="20">
        <v>32183060</v>
      </c>
      <c r="H258" s="20">
        <f>H257+Table1[[#This Row],[مبلغ ورود]]-Table1[[#This Row],[مبلغ خروج]]</f>
        <v>18592432924</v>
      </c>
      <c r="I258" s="216"/>
    </row>
    <row r="259" spans="1:9" ht="56.25">
      <c r="A259" s="1">
        <v>256</v>
      </c>
      <c r="B259" s="186" t="s">
        <v>1209</v>
      </c>
      <c r="C259" s="1">
        <v>738744</v>
      </c>
      <c r="D259" s="19" t="s">
        <v>938</v>
      </c>
      <c r="E259" s="74" t="s">
        <v>1216</v>
      </c>
      <c r="G259" s="20">
        <v>113894620</v>
      </c>
      <c r="H259" s="20">
        <f>H258+Table1[[#This Row],[مبلغ ورود]]-Table1[[#This Row],[مبلغ خروج]]</f>
        <v>18478538304</v>
      </c>
      <c r="I259" s="216"/>
    </row>
    <row r="260" spans="1:9" ht="21">
      <c r="A260" s="1">
        <v>257</v>
      </c>
      <c r="B260" s="186" t="s">
        <v>1219</v>
      </c>
      <c r="C260" s="1"/>
      <c r="E260" s="74" t="s">
        <v>1218</v>
      </c>
      <c r="F260" s="73">
        <v>6000000000</v>
      </c>
      <c r="H260" s="20">
        <f>H259+Table1[[#This Row],[مبلغ ورود]]-Table1[[#This Row],[مبلغ خروج]]</f>
        <v>24478538304</v>
      </c>
      <c r="I260" s="216"/>
    </row>
    <row r="261" spans="1:9" ht="37.5">
      <c r="A261" s="1">
        <v>258</v>
      </c>
      <c r="B261" s="186" t="s">
        <v>1217</v>
      </c>
      <c r="C261" s="1">
        <v>738745</v>
      </c>
      <c r="D261" s="19" t="s">
        <v>938</v>
      </c>
      <c r="E261" s="74" t="s">
        <v>958</v>
      </c>
      <c r="G261" s="20">
        <v>20000000000</v>
      </c>
      <c r="H261" s="20">
        <f>H260+Table1[[#This Row],[مبلغ ورود]]-Table1[[#This Row],[مبلغ خروج]]</f>
        <v>4478538304</v>
      </c>
      <c r="I261" s="216"/>
    </row>
    <row r="262" spans="1:9" ht="21">
      <c r="A262" s="1">
        <v>259</v>
      </c>
      <c r="B262" s="186" t="s">
        <v>1220</v>
      </c>
      <c r="C262" s="1">
        <v>738746</v>
      </c>
      <c r="D262" s="19" t="s">
        <v>938</v>
      </c>
      <c r="E262" s="74" t="s">
        <v>710</v>
      </c>
      <c r="G262" s="20">
        <v>3000000000</v>
      </c>
      <c r="H262" s="20">
        <f>H261+Table1[[#This Row],[مبلغ ورود]]-Table1[[#This Row],[مبلغ خروج]]</f>
        <v>1478538304</v>
      </c>
      <c r="I262" s="216"/>
    </row>
    <row r="263" spans="1:9" ht="21">
      <c r="A263" s="1">
        <v>260</v>
      </c>
      <c r="B263" s="186" t="s">
        <v>1221</v>
      </c>
      <c r="C263" s="1"/>
      <c r="E263" s="74" t="s">
        <v>1089</v>
      </c>
      <c r="F263" s="73">
        <v>5000000000</v>
      </c>
      <c r="H263" s="20">
        <f>H262+Table1[[#This Row],[مبلغ ورود]]-Table1[[#This Row],[مبلغ خروج]]</f>
        <v>6478538304</v>
      </c>
      <c r="I263" s="216"/>
    </row>
    <row r="264" spans="1:9" ht="21">
      <c r="A264" s="1">
        <v>261</v>
      </c>
      <c r="B264" s="186" t="s">
        <v>1222</v>
      </c>
      <c r="C264" s="1">
        <v>205049</v>
      </c>
      <c r="E264" s="74" t="s">
        <v>1218</v>
      </c>
      <c r="F264" s="73">
        <v>8500000000</v>
      </c>
      <c r="H264" s="20">
        <f>H263+Table1[[#This Row],[مبلغ ورود]]-Table1[[#This Row],[مبلغ خروج]]</f>
        <v>14978538304</v>
      </c>
      <c r="I264" s="216"/>
    </row>
    <row r="265" spans="1:9" ht="21">
      <c r="A265" s="1">
        <v>262</v>
      </c>
      <c r="B265" s="186" t="s">
        <v>1223</v>
      </c>
      <c r="C265" s="1"/>
      <c r="E265" s="74" t="s">
        <v>1224</v>
      </c>
      <c r="F265" s="73">
        <v>1511469277</v>
      </c>
      <c r="H265" s="20">
        <f>H264+Table1[[#This Row],[مبلغ ورود]]-Table1[[#This Row],[مبلغ خروج]]</f>
        <v>16490007581</v>
      </c>
      <c r="I265" s="216"/>
    </row>
    <row r="266" spans="1:9" ht="21">
      <c r="A266" s="1">
        <v>263</v>
      </c>
      <c r="B266" s="186" t="s">
        <v>1226</v>
      </c>
      <c r="C266" s="1"/>
      <c r="E266" s="74" t="s">
        <v>1225</v>
      </c>
      <c r="F266" s="73">
        <v>26059102</v>
      </c>
      <c r="H266" s="20">
        <f>H265+Table1[[#This Row],[مبلغ ورود]]-Table1[[#This Row],[مبلغ خروج]]</f>
        <v>16516066683</v>
      </c>
      <c r="I266" s="216"/>
    </row>
    <row r="267" spans="1:9" ht="37.5">
      <c r="A267" s="1">
        <v>264</v>
      </c>
      <c r="B267" s="186" t="s">
        <v>1227</v>
      </c>
      <c r="C267" s="1">
        <v>738747</v>
      </c>
      <c r="D267" s="19" t="s">
        <v>938</v>
      </c>
      <c r="E267" s="74" t="s">
        <v>1228</v>
      </c>
      <c r="G267" s="20">
        <v>16000000000</v>
      </c>
      <c r="H267" s="20">
        <f>H266+Table1[[#This Row],[مبلغ ورود]]-Table1[[#This Row],[مبلغ خروج]]</f>
        <v>516066683</v>
      </c>
      <c r="I267" s="216"/>
    </row>
    <row r="268" spans="1:9" ht="21">
      <c r="A268" s="1">
        <v>265</v>
      </c>
      <c r="B268" s="186" t="s">
        <v>1229</v>
      </c>
      <c r="C268" s="1"/>
      <c r="E268" s="74" t="s">
        <v>1218</v>
      </c>
      <c r="F268" s="73">
        <v>4000000000</v>
      </c>
      <c r="H268" s="20">
        <f>H267+Table1[[#This Row],[مبلغ ورود]]-Table1[[#This Row],[مبلغ خروج]]</f>
        <v>4516066683</v>
      </c>
      <c r="I268" s="216"/>
    </row>
    <row r="269" spans="1:9" ht="21">
      <c r="A269" s="1">
        <v>266</v>
      </c>
      <c r="B269" s="186" t="s">
        <v>1230</v>
      </c>
      <c r="C269" s="1"/>
      <c r="E269" s="74" t="s">
        <v>1218</v>
      </c>
      <c r="F269" s="73">
        <v>4500000000</v>
      </c>
      <c r="H269" s="20">
        <f>H268+Table1[[#This Row],[مبلغ ورود]]-Table1[[#This Row],[مبلغ خروج]]</f>
        <v>9016066683</v>
      </c>
      <c r="I269" s="216"/>
    </row>
    <row r="270" spans="1:9" ht="21">
      <c r="A270" s="1">
        <v>267</v>
      </c>
      <c r="B270" s="186" t="s">
        <v>1230</v>
      </c>
      <c r="C270" s="1"/>
      <c r="E270" s="74" t="s">
        <v>1235</v>
      </c>
      <c r="F270" s="73">
        <v>20000000000</v>
      </c>
      <c r="H270" s="20">
        <f>H269+Table1[[#This Row],[مبلغ ورود]]-Table1[[#This Row],[مبلغ خروج]]</f>
        <v>29016066683</v>
      </c>
      <c r="I270" s="216"/>
    </row>
    <row r="271" spans="1:9" ht="37.5">
      <c r="A271" s="1">
        <v>268</v>
      </c>
      <c r="B271" s="186" t="s">
        <v>1230</v>
      </c>
      <c r="C271" s="1">
        <v>738748</v>
      </c>
      <c r="D271" s="19" t="s">
        <v>938</v>
      </c>
      <c r="E271" s="74" t="s">
        <v>793</v>
      </c>
      <c r="G271" s="20">
        <v>13000000000</v>
      </c>
      <c r="H271" s="20">
        <f>H270+Table1[[#This Row],[مبلغ ورود]]-Table1[[#This Row],[مبلغ خروج]]</f>
        <v>16016066683</v>
      </c>
      <c r="I271" s="216"/>
    </row>
    <row r="272" spans="1:9" ht="21">
      <c r="A272" s="1">
        <v>269</v>
      </c>
      <c r="B272" s="186" t="s">
        <v>1231</v>
      </c>
      <c r="C272" s="1"/>
      <c r="E272" s="74" t="s">
        <v>1234</v>
      </c>
      <c r="F272" s="73">
        <v>90000000000</v>
      </c>
      <c r="H272" s="20">
        <f>H271+Table1[[#This Row],[مبلغ ورود]]-Table1[[#This Row],[مبلغ خروج]]</f>
        <v>106016066683</v>
      </c>
      <c r="I272" s="216"/>
    </row>
    <row r="273" spans="1:9" ht="37.5">
      <c r="A273" s="1">
        <v>270</v>
      </c>
      <c r="B273" s="186" t="s">
        <v>1231</v>
      </c>
      <c r="C273" s="1">
        <v>738749</v>
      </c>
      <c r="D273" s="19" t="s">
        <v>938</v>
      </c>
      <c r="E273" s="74" t="s">
        <v>1232</v>
      </c>
      <c r="G273" s="20">
        <v>12724820000</v>
      </c>
      <c r="H273" s="20">
        <f>H272+Table1[[#This Row],[مبلغ ورود]]-Table1[[#This Row],[مبلغ خروج]]</f>
        <v>93291246683</v>
      </c>
      <c r="I273" s="216"/>
    </row>
    <row r="274" spans="1:9" ht="37.5">
      <c r="A274" s="1">
        <v>271</v>
      </c>
      <c r="B274" s="186" t="s">
        <v>1233</v>
      </c>
      <c r="C274" s="1">
        <v>738750</v>
      </c>
      <c r="D274" s="19" t="s">
        <v>938</v>
      </c>
      <c r="E274" s="74" t="s">
        <v>1228</v>
      </c>
      <c r="G274" s="20">
        <v>20000000000</v>
      </c>
      <c r="H274" s="20">
        <f>H273+Table1[[#This Row],[مبلغ ورود]]-Table1[[#This Row],[مبلغ خروج]]</f>
        <v>73291246683</v>
      </c>
      <c r="I274" s="216"/>
    </row>
    <row r="275" spans="1:9" ht="56.25">
      <c r="A275" s="1">
        <v>272</v>
      </c>
      <c r="B275" s="186" t="s">
        <v>1236</v>
      </c>
      <c r="C275" s="1">
        <v>911501</v>
      </c>
      <c r="D275" s="19" t="s">
        <v>938</v>
      </c>
      <c r="E275" s="74" t="s">
        <v>1237</v>
      </c>
      <c r="G275" s="20">
        <v>132412140</v>
      </c>
      <c r="H275" s="20">
        <f>H274+Table1[[#This Row],[مبلغ ورود]]-Table1[[#This Row],[مبلغ خروج]]</f>
        <v>73158834543</v>
      </c>
      <c r="I275" s="216"/>
    </row>
    <row r="276" spans="1:9" ht="56.25">
      <c r="A276" s="1">
        <v>273</v>
      </c>
      <c r="B276" s="186" t="s">
        <v>1236</v>
      </c>
      <c r="C276" s="1">
        <v>911502</v>
      </c>
      <c r="D276" s="19" t="s">
        <v>938</v>
      </c>
      <c r="E276" s="74" t="s">
        <v>1238</v>
      </c>
      <c r="G276" s="20">
        <v>256250000</v>
      </c>
      <c r="H276" s="20">
        <f>H275+Table1[[#This Row],[مبلغ ورود]]-Table1[[#This Row],[مبلغ خروج]]</f>
        <v>72902584543</v>
      </c>
      <c r="I276" s="216"/>
    </row>
    <row r="277" spans="1:9" ht="56.25">
      <c r="A277" s="1">
        <v>274</v>
      </c>
      <c r="B277" s="186" t="s">
        <v>1236</v>
      </c>
      <c r="C277" s="1">
        <v>911503</v>
      </c>
      <c r="D277" s="19" t="s">
        <v>938</v>
      </c>
      <c r="E277" s="74" t="s">
        <v>1239</v>
      </c>
      <c r="G277" s="20">
        <v>1922543198</v>
      </c>
      <c r="H277" s="20">
        <f>H276+Table1[[#This Row],[مبلغ ورود]]-Table1[[#This Row],[مبلغ خروج]]</f>
        <v>70980041345</v>
      </c>
      <c r="I277" s="216"/>
    </row>
    <row r="278" spans="1:9" ht="37.5">
      <c r="A278" s="1">
        <v>275</v>
      </c>
      <c r="B278" s="186" t="s">
        <v>1240</v>
      </c>
      <c r="C278" s="1">
        <v>911504</v>
      </c>
      <c r="D278" s="19" t="s">
        <v>938</v>
      </c>
      <c r="E278" s="74" t="s">
        <v>1241</v>
      </c>
      <c r="G278" s="20">
        <v>1220364500</v>
      </c>
      <c r="H278" s="20">
        <f>H277+Table1[[#This Row],[مبلغ ورود]]-Table1[[#This Row],[مبلغ خروج]]</f>
        <v>69759676845</v>
      </c>
      <c r="I278" s="216"/>
    </row>
    <row r="279" spans="1:9" ht="56.25">
      <c r="A279" s="1">
        <v>276</v>
      </c>
      <c r="B279" s="186" t="s">
        <v>1240</v>
      </c>
      <c r="C279" s="1">
        <v>911505</v>
      </c>
      <c r="D279" s="19" t="s">
        <v>938</v>
      </c>
      <c r="E279" s="74" t="s">
        <v>1242</v>
      </c>
      <c r="G279" s="20">
        <f>292200000+194800000+139520000+209280000</f>
        <v>835800000</v>
      </c>
      <c r="H279" s="20">
        <f>H278+Table1[[#This Row],[مبلغ ورود]]-Table1[[#This Row],[مبلغ خروج]]</f>
        <v>68923876845</v>
      </c>
      <c r="I279" s="216"/>
    </row>
    <row r="280" spans="1:9" ht="21">
      <c r="A280" s="1">
        <v>277</v>
      </c>
      <c r="B280" s="186" t="s">
        <v>1240</v>
      </c>
      <c r="C280" s="1">
        <v>911506</v>
      </c>
      <c r="D280" s="19" t="s">
        <v>938</v>
      </c>
      <c r="E280" s="74" t="s">
        <v>710</v>
      </c>
      <c r="G280" s="20">
        <v>5000000000</v>
      </c>
      <c r="H280" s="20">
        <f>H279+Table1[[#This Row],[مبلغ ورود]]-Table1[[#This Row],[مبلغ خروج]]</f>
        <v>63923876845</v>
      </c>
      <c r="I280" s="216"/>
    </row>
    <row r="281" spans="1:9" ht="37.5">
      <c r="A281" s="1">
        <v>278</v>
      </c>
      <c r="B281" s="186" t="s">
        <v>1240</v>
      </c>
      <c r="C281" s="1">
        <v>911507</v>
      </c>
      <c r="D281" s="19" t="s">
        <v>938</v>
      </c>
      <c r="E281" s="74" t="s">
        <v>1243</v>
      </c>
      <c r="G281" s="20">
        <v>73000000</v>
      </c>
      <c r="H281" s="20">
        <f>H280+Table1[[#This Row],[مبلغ ورود]]-Table1[[#This Row],[مبلغ خروج]]</f>
        <v>63850876845</v>
      </c>
      <c r="I281" s="216"/>
    </row>
    <row r="282" spans="1:9" ht="37.5">
      <c r="A282" s="1">
        <v>279</v>
      </c>
      <c r="B282" s="186" t="s">
        <v>1245</v>
      </c>
      <c r="C282" s="1">
        <v>911508</v>
      </c>
      <c r="D282" s="19" t="s">
        <v>938</v>
      </c>
      <c r="E282" s="74" t="s">
        <v>1244</v>
      </c>
      <c r="G282" s="20">
        <v>250000000</v>
      </c>
      <c r="H282" s="20">
        <f>H281+Table1[[#This Row],[مبلغ ورود]]-Table1[[#This Row],[مبلغ خروج]]</f>
        <v>63600876845</v>
      </c>
      <c r="I282" s="216"/>
    </row>
    <row r="283" spans="1:9" ht="37.5">
      <c r="A283" s="1">
        <v>280</v>
      </c>
      <c r="B283" s="186" t="s">
        <v>1245</v>
      </c>
      <c r="C283" s="1">
        <v>911509</v>
      </c>
      <c r="D283" s="19" t="s">
        <v>938</v>
      </c>
      <c r="E283" s="74" t="s">
        <v>1246</v>
      </c>
      <c r="G283" s="20">
        <v>150000000</v>
      </c>
      <c r="H283" s="20">
        <f>H282+Table1[[#This Row],[مبلغ ورود]]-Table1[[#This Row],[مبلغ خروج]]</f>
        <v>63450876845</v>
      </c>
      <c r="I283" s="216"/>
    </row>
    <row r="284" spans="1:9" ht="37.5">
      <c r="A284" s="1">
        <v>281</v>
      </c>
      <c r="B284" s="186" t="s">
        <v>1245</v>
      </c>
      <c r="C284" s="1">
        <v>911510</v>
      </c>
      <c r="D284" s="19" t="s">
        <v>938</v>
      </c>
      <c r="E284" s="74" t="s">
        <v>1247</v>
      </c>
      <c r="G284" s="20">
        <v>12250000</v>
      </c>
      <c r="H284" s="20">
        <f>H283+Table1[[#This Row],[مبلغ ورود]]-Table1[[#This Row],[مبلغ خروج]]</f>
        <v>63438626845</v>
      </c>
      <c r="I284" s="216"/>
    </row>
    <row r="285" spans="1:9" ht="37.5">
      <c r="A285" s="1">
        <v>282</v>
      </c>
      <c r="B285" s="186" t="s">
        <v>1245</v>
      </c>
      <c r="C285" s="1">
        <v>911511</v>
      </c>
      <c r="D285" s="19" t="s">
        <v>938</v>
      </c>
      <c r="E285" s="74" t="s">
        <v>1248</v>
      </c>
      <c r="G285" s="20">
        <v>152709000</v>
      </c>
      <c r="H285" s="20">
        <f>H284+Table1[[#This Row],[مبلغ ورود]]-Table1[[#This Row],[مبلغ خروج]]</f>
        <v>63285917845</v>
      </c>
      <c r="I285" s="216"/>
    </row>
    <row r="286" spans="1:9" ht="93.75">
      <c r="A286" s="1">
        <v>283</v>
      </c>
      <c r="B286" s="186" t="s">
        <v>1245</v>
      </c>
      <c r="C286" s="1">
        <v>911512</v>
      </c>
      <c r="D286" s="19" t="s">
        <v>938</v>
      </c>
      <c r="E286" s="74" t="s">
        <v>1249</v>
      </c>
      <c r="G286" s="20">
        <v>51130000</v>
      </c>
      <c r="H286" s="20">
        <f>H285+Table1[[#This Row],[مبلغ ورود]]-Table1[[#This Row],[مبلغ خروج]]</f>
        <v>63234787845</v>
      </c>
      <c r="I286" s="216"/>
    </row>
    <row r="287" spans="1:9" ht="21">
      <c r="A287" s="1">
        <v>284</v>
      </c>
      <c r="B287" s="186" t="s">
        <v>1245</v>
      </c>
      <c r="C287" s="1">
        <v>911513</v>
      </c>
      <c r="D287" s="19" t="s">
        <v>938</v>
      </c>
      <c r="E287" s="74" t="s">
        <v>710</v>
      </c>
      <c r="G287" s="20">
        <v>5000000000</v>
      </c>
      <c r="H287" s="20">
        <f>H286+Table1[[#This Row],[مبلغ ورود]]-Table1[[#This Row],[مبلغ خروج]]</f>
        <v>58234787845</v>
      </c>
      <c r="I287" s="216"/>
    </row>
    <row r="288" spans="1:9" ht="37.5">
      <c r="A288" s="1">
        <v>285</v>
      </c>
      <c r="B288" s="186" t="s">
        <v>1250</v>
      </c>
      <c r="C288" s="1">
        <v>911514</v>
      </c>
      <c r="D288" s="19" t="s">
        <v>938</v>
      </c>
      <c r="E288" s="74" t="s">
        <v>1251</v>
      </c>
      <c r="G288" s="20">
        <v>2123800000</v>
      </c>
      <c r="H288" s="20">
        <f>H287+Table1[[#This Row],[مبلغ ورود]]-Table1[[#This Row],[مبلغ خروج]]</f>
        <v>56110987845</v>
      </c>
      <c r="I288" s="216"/>
    </row>
    <row r="289" spans="1:9" ht="56.25">
      <c r="A289" s="1">
        <v>286</v>
      </c>
      <c r="B289" s="186" t="s">
        <v>1250</v>
      </c>
      <c r="C289" s="1">
        <v>911515</v>
      </c>
      <c r="D289" s="19" t="s">
        <v>938</v>
      </c>
      <c r="E289" s="74" t="s">
        <v>1259</v>
      </c>
      <c r="G289" s="20">
        <f>51990000+5980625500+3443418000</f>
        <v>9476033500</v>
      </c>
      <c r="H289" s="20">
        <f>H288+Table1[[#This Row],[مبلغ ورود]]-Table1[[#This Row],[مبلغ خروج]]</f>
        <v>46634954345</v>
      </c>
      <c r="I289" s="216"/>
    </row>
    <row r="290" spans="1:9" ht="56.25">
      <c r="A290" s="1">
        <v>287</v>
      </c>
      <c r="B290" s="186" t="s">
        <v>1250</v>
      </c>
      <c r="C290" s="1">
        <v>911516</v>
      </c>
      <c r="D290" s="19" t="s">
        <v>938</v>
      </c>
      <c r="E290" s="74" t="s">
        <v>1253</v>
      </c>
      <c r="G290" s="20">
        <v>3171330000</v>
      </c>
      <c r="H290" s="20">
        <f>H289+Table1[[#This Row],[مبلغ ورود]]-Table1[[#This Row],[مبلغ خروج]]</f>
        <v>43463624345</v>
      </c>
      <c r="I290" s="216"/>
    </row>
    <row r="291" spans="1:9" ht="37.5">
      <c r="A291" s="1">
        <v>288</v>
      </c>
      <c r="B291" s="186" t="s">
        <v>1250</v>
      </c>
      <c r="C291" s="1">
        <v>911517</v>
      </c>
      <c r="D291" s="19" t="s">
        <v>938</v>
      </c>
      <c r="E291" s="74" t="s">
        <v>1260</v>
      </c>
      <c r="G291" s="20">
        <v>19218425000</v>
      </c>
      <c r="H291" s="20">
        <f>H290+Table1[[#This Row],[مبلغ ورود]]-Table1[[#This Row],[مبلغ خروج]]</f>
        <v>24245199345</v>
      </c>
      <c r="I291" s="216"/>
    </row>
    <row r="292" spans="1:9" ht="56.25">
      <c r="A292" s="1">
        <v>289</v>
      </c>
      <c r="B292" s="186" t="s">
        <v>1250</v>
      </c>
      <c r="C292" s="1">
        <v>911518</v>
      </c>
      <c r="D292" s="19" t="s">
        <v>938</v>
      </c>
      <c r="E292" s="74" t="s">
        <v>1255</v>
      </c>
      <c r="G292" s="20">
        <v>13548700</v>
      </c>
      <c r="H292" s="20">
        <f>H291+Table1[[#This Row],[مبلغ ورود]]-Table1[[#This Row],[مبلغ خروج]]</f>
        <v>24231650645</v>
      </c>
      <c r="I292" s="216"/>
    </row>
    <row r="293" spans="1:9" ht="37.5">
      <c r="A293" s="1">
        <v>290</v>
      </c>
      <c r="B293" s="186" t="s">
        <v>1250</v>
      </c>
      <c r="C293" s="1">
        <v>911519</v>
      </c>
      <c r="D293" s="19" t="s">
        <v>938</v>
      </c>
      <c r="E293" s="74" t="s">
        <v>1256</v>
      </c>
      <c r="G293" s="20">
        <v>285672000</v>
      </c>
      <c r="H293" s="20">
        <f>H292+Table1[[#This Row],[مبلغ ورود]]-Table1[[#This Row],[مبلغ خروج]]</f>
        <v>23945978645</v>
      </c>
      <c r="I293" s="216"/>
    </row>
    <row r="294" spans="1:9" ht="37.5">
      <c r="A294" s="1">
        <v>291</v>
      </c>
      <c r="B294" s="186" t="s">
        <v>1257</v>
      </c>
      <c r="C294" s="1">
        <v>911520</v>
      </c>
      <c r="D294" s="19" t="s">
        <v>938</v>
      </c>
      <c r="E294" s="74" t="s">
        <v>1258</v>
      </c>
      <c r="G294" s="20">
        <v>97436000</v>
      </c>
      <c r="H294" s="20">
        <f>H293+Table1[[#This Row],[مبلغ ورود]]-Table1[[#This Row],[مبلغ خروج]]</f>
        <v>23848542645</v>
      </c>
      <c r="I294" s="216"/>
    </row>
    <row r="295" spans="1:9" ht="56.25">
      <c r="A295" s="1">
        <v>292</v>
      </c>
      <c r="B295" s="186" t="s">
        <v>1250</v>
      </c>
      <c r="C295" s="1">
        <v>911521</v>
      </c>
      <c r="D295" s="19" t="s">
        <v>938</v>
      </c>
      <c r="E295" s="74" t="s">
        <v>1252</v>
      </c>
      <c r="G295" s="20">
        <v>136000000</v>
      </c>
      <c r="H295" s="20">
        <f>H294+Table1[[#This Row],[مبلغ ورود]]-Table1[[#This Row],[مبلغ خروج]]</f>
        <v>23712542645</v>
      </c>
      <c r="I295" s="216"/>
    </row>
    <row r="296" spans="1:9" ht="56.25">
      <c r="A296" s="1">
        <v>293</v>
      </c>
      <c r="B296" s="186" t="s">
        <v>1250</v>
      </c>
      <c r="C296" s="1">
        <v>911522</v>
      </c>
      <c r="D296" s="19" t="s">
        <v>938</v>
      </c>
      <c r="E296" s="74" t="s">
        <v>1254</v>
      </c>
      <c r="G296" s="20">
        <v>90000000</v>
      </c>
      <c r="H296" s="20">
        <f>H295+Table1[[#This Row],[مبلغ ورود]]-Table1[[#This Row],[مبلغ خروج]]</f>
        <v>23622542645</v>
      </c>
      <c r="I296" s="216"/>
    </row>
    <row r="297" spans="1:9" ht="21">
      <c r="A297" s="1">
        <v>294</v>
      </c>
      <c r="B297" s="186" t="s">
        <v>1245</v>
      </c>
      <c r="C297" s="1"/>
      <c r="E297" s="74" t="s">
        <v>1089</v>
      </c>
      <c r="F297" s="73">
        <v>10000000000</v>
      </c>
      <c r="H297" s="20">
        <f>H296+Table1[[#This Row],[مبلغ ورود]]-Table1[[#This Row],[مبلغ خروج]]</f>
        <v>33622542645</v>
      </c>
      <c r="I297" s="216"/>
    </row>
    <row r="298" spans="1:9" ht="21">
      <c r="A298" s="1">
        <v>295</v>
      </c>
      <c r="B298" s="186" t="s">
        <v>1236</v>
      </c>
      <c r="C298" s="1"/>
      <c r="E298" s="74" t="s">
        <v>1089</v>
      </c>
      <c r="F298" s="73">
        <v>3876800000</v>
      </c>
      <c r="H298" s="20">
        <f>H297+Table1[[#This Row],[مبلغ ورود]]-Table1[[#This Row],[مبلغ خروج]]</f>
        <v>37499342645</v>
      </c>
      <c r="I298" s="216"/>
    </row>
    <row r="299" spans="1:9" ht="56.25">
      <c r="A299" s="1">
        <v>296</v>
      </c>
      <c r="B299" s="186" t="s">
        <v>1250</v>
      </c>
      <c r="C299" s="1">
        <v>911523</v>
      </c>
      <c r="D299" s="19" t="s">
        <v>938</v>
      </c>
      <c r="E299" s="175" t="s">
        <v>1261</v>
      </c>
      <c r="G299" s="20">
        <v>2400000000</v>
      </c>
      <c r="H299" s="20">
        <f>H298+Table1[[#This Row],[مبلغ ورود]]-Table1[[#This Row],[مبلغ خروج]]</f>
        <v>35099342645</v>
      </c>
      <c r="I299" s="216"/>
    </row>
    <row r="300" spans="1:9" ht="21">
      <c r="A300" s="1">
        <v>297</v>
      </c>
      <c r="B300" s="186" t="s">
        <v>1257</v>
      </c>
      <c r="C300" s="1">
        <v>911524</v>
      </c>
      <c r="D300" s="19" t="s">
        <v>938</v>
      </c>
      <c r="E300" s="74" t="s">
        <v>710</v>
      </c>
      <c r="G300" s="20">
        <v>5000000000</v>
      </c>
      <c r="H300" s="20">
        <f>H299+Table1[[#This Row],[مبلغ ورود]]-Table1[[#This Row],[مبلغ خروج]]</f>
        <v>30099342645</v>
      </c>
      <c r="I300" s="216"/>
    </row>
    <row r="301" spans="1:9" ht="37.5">
      <c r="A301" s="1">
        <v>298</v>
      </c>
      <c r="B301" s="186" t="s">
        <v>1263</v>
      </c>
      <c r="C301" s="1">
        <v>911525</v>
      </c>
      <c r="D301" s="19" t="s">
        <v>938</v>
      </c>
      <c r="E301" s="74" t="s">
        <v>1262</v>
      </c>
      <c r="G301" s="20">
        <v>128300000</v>
      </c>
      <c r="H301" s="20">
        <f>H300+Table1[[#This Row],[مبلغ ورود]]-Table1[[#This Row],[مبلغ خروج]]</f>
        <v>29971042645</v>
      </c>
      <c r="I301" s="216"/>
    </row>
    <row r="302" spans="1:9" ht="56.25">
      <c r="A302" s="1">
        <v>299</v>
      </c>
      <c r="B302" s="186" t="s">
        <v>1263</v>
      </c>
      <c r="C302" s="1">
        <v>911526</v>
      </c>
      <c r="D302" s="19" t="s">
        <v>938</v>
      </c>
      <c r="E302" s="74" t="s">
        <v>1264</v>
      </c>
      <c r="G302" s="20">
        <v>100911000</v>
      </c>
      <c r="H302" s="20">
        <f>H301+Table1[[#This Row],[مبلغ ورود]]-Table1[[#This Row],[مبلغ خروج]]</f>
        <v>29870131645</v>
      </c>
      <c r="I302" s="216"/>
    </row>
    <row r="303" spans="1:9" ht="37.5">
      <c r="A303" s="1">
        <v>300</v>
      </c>
      <c r="B303" s="186" t="s">
        <v>1265</v>
      </c>
      <c r="C303" s="1">
        <v>911527</v>
      </c>
      <c r="D303" s="19" t="s">
        <v>938</v>
      </c>
      <c r="E303" s="74" t="s">
        <v>1266</v>
      </c>
      <c r="G303" s="20">
        <v>702620000</v>
      </c>
      <c r="H303" s="20">
        <f>H302+Table1[[#This Row],[مبلغ ورود]]-Table1[[#This Row],[مبلغ خروج]]</f>
        <v>29167511645</v>
      </c>
      <c r="I303" s="216"/>
    </row>
    <row r="304" spans="1:9" ht="56.25">
      <c r="A304" s="1">
        <v>301</v>
      </c>
      <c r="B304" s="186" t="s">
        <v>1267</v>
      </c>
      <c r="C304" s="1">
        <v>911528</v>
      </c>
      <c r="D304" s="19" t="s">
        <v>938</v>
      </c>
      <c r="E304" s="74" t="s">
        <v>1099</v>
      </c>
      <c r="G304" s="20">
        <v>500000000</v>
      </c>
      <c r="H304" s="20">
        <f>H303+Table1[[#This Row],[مبلغ ورود]]-Table1[[#This Row],[مبلغ خروج]]</f>
        <v>28667511645</v>
      </c>
      <c r="I304" s="216"/>
    </row>
    <row r="305" spans="1:9" ht="56.25">
      <c r="A305" s="1">
        <v>302</v>
      </c>
      <c r="B305" s="186" t="s">
        <v>1267</v>
      </c>
      <c r="C305" s="1">
        <v>911529</v>
      </c>
      <c r="D305" s="19" t="s">
        <v>938</v>
      </c>
      <c r="E305" s="74" t="s">
        <v>1268</v>
      </c>
      <c r="G305" s="20">
        <v>1143750000</v>
      </c>
      <c r="H305" s="20">
        <f>H304+Table1[[#This Row],[مبلغ ورود]]-Table1[[#This Row],[مبلغ خروج]]</f>
        <v>27523761645</v>
      </c>
      <c r="I305" s="216"/>
    </row>
    <row r="306" spans="1:9" ht="37.5">
      <c r="A306" s="1">
        <v>303</v>
      </c>
      <c r="B306" s="186" t="s">
        <v>1267</v>
      </c>
      <c r="C306" s="1">
        <v>911530</v>
      </c>
      <c r="D306" s="19" t="s">
        <v>938</v>
      </c>
      <c r="E306" s="74" t="s">
        <v>1269</v>
      </c>
      <c r="G306" s="20">
        <f>2408394*1000</f>
        <v>2408394000</v>
      </c>
      <c r="H306" s="20">
        <f>H305+Table1[[#This Row],[مبلغ ورود]]-Table1[[#This Row],[مبلغ خروج]]</f>
        <v>25115367645</v>
      </c>
      <c r="I306" s="216"/>
    </row>
    <row r="307" spans="1:9" ht="56.25">
      <c r="A307" s="1">
        <v>304</v>
      </c>
      <c r="B307" s="186" t="s">
        <v>1270</v>
      </c>
      <c r="C307" s="1">
        <v>911531</v>
      </c>
      <c r="D307" s="19" t="s">
        <v>938</v>
      </c>
      <c r="E307" s="74" t="s">
        <v>1271</v>
      </c>
      <c r="G307" s="20">
        <v>65961150</v>
      </c>
      <c r="H307" s="20">
        <f>H306+Table1[[#This Row],[مبلغ ورود]]-Table1[[#This Row],[مبلغ خروج]]</f>
        <v>25049406495</v>
      </c>
      <c r="I307" s="216"/>
    </row>
    <row r="308" spans="1:9" ht="37.5">
      <c r="A308" s="1">
        <v>305</v>
      </c>
      <c r="B308" s="186" t="s">
        <v>1270</v>
      </c>
      <c r="C308" s="1">
        <v>911532</v>
      </c>
      <c r="D308" s="19" t="s">
        <v>938</v>
      </c>
      <c r="E308" s="74" t="s">
        <v>1272</v>
      </c>
      <c r="G308" s="20">
        <v>657034737</v>
      </c>
      <c r="H308" s="20">
        <f>H307+Table1[[#This Row],[مبلغ ورود]]-Table1[[#This Row],[مبلغ خروج]]</f>
        <v>24392371758</v>
      </c>
      <c r="I308" s="216"/>
    </row>
    <row r="309" spans="1:9" ht="37.5">
      <c r="A309" s="1">
        <v>306</v>
      </c>
      <c r="B309" s="186" t="s">
        <v>1270</v>
      </c>
      <c r="C309" s="1">
        <v>911539</v>
      </c>
      <c r="D309" s="19" t="s">
        <v>938</v>
      </c>
      <c r="E309" s="74" t="s">
        <v>1273</v>
      </c>
      <c r="G309" s="20">
        <v>608643277</v>
      </c>
      <c r="H309" s="20">
        <f>H308+Table1[[#This Row],[مبلغ ورود]]-Table1[[#This Row],[مبلغ خروج]]</f>
        <v>23783728481</v>
      </c>
      <c r="I309" s="216"/>
    </row>
    <row r="310" spans="1:9" ht="37.5">
      <c r="A310" s="1">
        <v>307</v>
      </c>
      <c r="B310" s="186" t="s">
        <v>1270</v>
      </c>
      <c r="C310" s="1">
        <v>911534</v>
      </c>
      <c r="D310" s="19" t="s">
        <v>938</v>
      </c>
      <c r="E310" s="151" t="s">
        <v>1274</v>
      </c>
      <c r="G310" s="20">
        <v>3000000000</v>
      </c>
      <c r="H310" s="20">
        <f>H309+Table1[[#This Row],[مبلغ ورود]]-Table1[[#This Row],[مبلغ خروج]]</f>
        <v>20783728481</v>
      </c>
      <c r="I310" s="216"/>
    </row>
    <row r="311" spans="1:9" ht="21">
      <c r="A311" s="1">
        <v>308</v>
      </c>
      <c r="B311" s="186" t="s">
        <v>1270</v>
      </c>
      <c r="C311" s="1">
        <v>911535</v>
      </c>
      <c r="D311" s="19" t="s">
        <v>938</v>
      </c>
      <c r="E311" s="74" t="s">
        <v>710</v>
      </c>
      <c r="G311" s="20">
        <v>5000000000</v>
      </c>
      <c r="H311" s="20">
        <f>H310+Table1[[#This Row],[مبلغ ورود]]-Table1[[#This Row],[مبلغ خروج]]</f>
        <v>15783728481</v>
      </c>
      <c r="I311" s="216"/>
    </row>
    <row r="312" spans="1:9" ht="56.25">
      <c r="A312" s="1">
        <v>309</v>
      </c>
      <c r="B312" s="186" t="s">
        <v>1270</v>
      </c>
      <c r="C312" s="1">
        <v>911536</v>
      </c>
      <c r="D312" s="19" t="s">
        <v>938</v>
      </c>
      <c r="E312" s="74" t="s">
        <v>1275</v>
      </c>
      <c r="G312" s="20">
        <v>136000000</v>
      </c>
      <c r="H312" s="20">
        <f>H311+Table1[[#This Row],[مبلغ ورود]]-Table1[[#This Row],[مبلغ خروج]]</f>
        <v>15647728481</v>
      </c>
      <c r="I312" s="216"/>
    </row>
    <row r="313" spans="1:9" ht="37.5">
      <c r="A313" s="1">
        <v>310</v>
      </c>
      <c r="B313" s="186" t="s">
        <v>1270</v>
      </c>
      <c r="C313" s="1">
        <v>911537</v>
      </c>
      <c r="D313" s="19" t="s">
        <v>938</v>
      </c>
      <c r="E313" s="74" t="s">
        <v>1276</v>
      </c>
      <c r="G313" s="20">
        <f>80000000+64000000</f>
        <v>144000000</v>
      </c>
      <c r="H313" s="20">
        <f>H312+Table1[[#This Row],[مبلغ ورود]]-Table1[[#This Row],[مبلغ خروج]]</f>
        <v>15503728481</v>
      </c>
      <c r="I313" s="216"/>
    </row>
    <row r="314" spans="1:9" ht="37.5">
      <c r="A314" s="1">
        <v>311</v>
      </c>
      <c r="B314" s="186" t="s">
        <v>1270</v>
      </c>
      <c r="C314" s="1">
        <v>911538</v>
      </c>
      <c r="D314" s="19" t="s">
        <v>938</v>
      </c>
      <c r="E314" s="74" t="s">
        <v>1277</v>
      </c>
      <c r="G314" s="20">
        <v>100552500</v>
      </c>
      <c r="H314" s="20">
        <f>H313+Table1[[#This Row],[مبلغ ورود]]-Table1[[#This Row],[مبلغ خروج]]</f>
        <v>15403175981</v>
      </c>
      <c r="I314" s="216"/>
    </row>
    <row r="315" spans="1:9" ht="21">
      <c r="A315" s="1">
        <v>312</v>
      </c>
      <c r="B315" s="186"/>
      <c r="C315" s="1">
        <v>911533</v>
      </c>
      <c r="D315" s="19" t="s">
        <v>938</v>
      </c>
      <c r="E315" s="74" t="s">
        <v>626</v>
      </c>
      <c r="H315" s="20">
        <f>H314+Table1[[#This Row],[مبلغ ورود]]-Table1[[#This Row],[مبلغ خروج]]</f>
        <v>15403175981</v>
      </c>
      <c r="I315" s="216"/>
    </row>
    <row r="316" spans="1:9" ht="21">
      <c r="A316" s="1">
        <v>313</v>
      </c>
      <c r="B316" s="186" t="s">
        <v>1263</v>
      </c>
      <c r="C316" s="1"/>
      <c r="E316" s="74" t="s">
        <v>1278</v>
      </c>
      <c r="F316" s="73">
        <v>5043234</v>
      </c>
      <c r="H316" s="20">
        <f>H315+Table1[[#This Row],[مبلغ ورود]]-Table1[[#This Row],[مبلغ خروج]]</f>
        <v>15408219215</v>
      </c>
      <c r="I316" s="216"/>
    </row>
    <row r="317" spans="1:9" ht="21">
      <c r="A317" s="1">
        <v>314</v>
      </c>
      <c r="B317" s="186" t="s">
        <v>1279</v>
      </c>
      <c r="C317" s="1"/>
      <c r="E317" s="74" t="s">
        <v>1224</v>
      </c>
      <c r="F317" s="73">
        <v>1334048431</v>
      </c>
      <c r="H317" s="20">
        <f>H316+Table1[[#This Row],[مبلغ ورود]]-Table1[[#This Row],[مبلغ خروج]]</f>
        <v>16742267646</v>
      </c>
      <c r="I317" s="216"/>
    </row>
    <row r="318" spans="1:9" ht="21">
      <c r="A318" s="1">
        <v>315</v>
      </c>
      <c r="B318" s="186" t="s">
        <v>1279</v>
      </c>
      <c r="C318" s="1"/>
      <c r="E318" s="74" t="s">
        <v>1280</v>
      </c>
      <c r="G318" s="20">
        <v>25000</v>
      </c>
      <c r="H318" s="20">
        <f>H317+Table1[[#This Row],[مبلغ ورود]]-Table1[[#This Row],[مبلغ خروج]]</f>
        <v>16742242646</v>
      </c>
      <c r="I318" s="216"/>
    </row>
    <row r="319" spans="1:9" ht="21">
      <c r="A319" s="1">
        <v>316</v>
      </c>
      <c r="B319" s="186" t="s">
        <v>1281</v>
      </c>
      <c r="C319" s="1">
        <v>511540</v>
      </c>
      <c r="D319" s="19" t="s">
        <v>938</v>
      </c>
      <c r="E319" s="74" t="s">
        <v>710</v>
      </c>
      <c r="G319" s="20">
        <v>5000000000</v>
      </c>
      <c r="H319" s="20">
        <f>H318+Table1[[#This Row],[مبلغ ورود]]-Table1[[#This Row],[مبلغ خروج]]</f>
        <v>11742242646</v>
      </c>
      <c r="I319" s="216"/>
    </row>
    <row r="320" spans="1:9" ht="37.5">
      <c r="A320" s="1">
        <v>317</v>
      </c>
      <c r="B320" s="186" t="s">
        <v>1281</v>
      </c>
      <c r="C320" s="1">
        <v>511541</v>
      </c>
      <c r="D320" s="19" t="s">
        <v>938</v>
      </c>
      <c r="E320" s="74" t="s">
        <v>1282</v>
      </c>
      <c r="G320" s="20">
        <v>24416000</v>
      </c>
      <c r="H320" s="20">
        <f>H319+Table1[[#This Row],[مبلغ ورود]]-Table1[[#This Row],[مبلغ خروج]]</f>
        <v>11717826646</v>
      </c>
      <c r="I320" s="216"/>
    </row>
    <row r="321" spans="1:9" ht="56.25">
      <c r="A321" s="1">
        <v>318</v>
      </c>
      <c r="B321" s="186" t="s">
        <v>1283</v>
      </c>
      <c r="C321" s="1">
        <v>511542</v>
      </c>
      <c r="D321" s="19" t="s">
        <v>938</v>
      </c>
      <c r="E321" s="74" t="s">
        <v>1284</v>
      </c>
      <c r="G321" s="20">
        <v>61497000</v>
      </c>
      <c r="H321" s="20">
        <f>H320+Table1[[#This Row],[مبلغ ورود]]-Table1[[#This Row],[مبلغ خروج]]</f>
        <v>11656329646</v>
      </c>
      <c r="I321" s="216"/>
    </row>
    <row r="322" spans="1:9" ht="21">
      <c r="A322" s="1">
        <v>319</v>
      </c>
      <c r="B322" s="186" t="s">
        <v>1283</v>
      </c>
      <c r="C322" s="1"/>
      <c r="E322" s="74" t="s">
        <v>1234</v>
      </c>
      <c r="F322" s="73">
        <v>30000000000</v>
      </c>
      <c r="H322" s="20">
        <f>H321+Table1[[#This Row],[مبلغ ورود]]-Table1[[#This Row],[مبلغ خروج]]</f>
        <v>41656329646</v>
      </c>
      <c r="I322" s="216"/>
    </row>
    <row r="323" spans="1:9" ht="21">
      <c r="A323" s="1">
        <v>320</v>
      </c>
      <c r="B323" s="186" t="s">
        <v>1283</v>
      </c>
      <c r="C323" s="1">
        <v>511543</v>
      </c>
      <c r="D323" s="19" t="s">
        <v>938</v>
      </c>
      <c r="E323" s="74" t="s">
        <v>710</v>
      </c>
      <c r="G323" s="20">
        <v>15000000000</v>
      </c>
      <c r="H323" s="20">
        <f>H322+Table1[[#This Row],[مبلغ ورود]]-Table1[[#This Row],[مبلغ خروج]]</f>
        <v>26656329646</v>
      </c>
      <c r="I323" s="216"/>
    </row>
    <row r="324" spans="1:9" ht="56.25">
      <c r="A324" s="1">
        <v>321</v>
      </c>
      <c r="B324" s="186" t="s">
        <v>1283</v>
      </c>
      <c r="C324" s="1">
        <v>511544</v>
      </c>
      <c r="D324" s="19" t="s">
        <v>938</v>
      </c>
      <c r="E324" s="74" t="s">
        <v>1285</v>
      </c>
      <c r="G324" s="20">
        <v>256250000</v>
      </c>
      <c r="H324" s="20">
        <f>H323+Table1[[#This Row],[مبلغ ورود]]-Table1[[#This Row],[مبلغ خروج]]</f>
        <v>26400079646</v>
      </c>
      <c r="I324" s="216"/>
    </row>
    <row r="325" spans="1:9" ht="56.25">
      <c r="A325" s="1">
        <v>322</v>
      </c>
      <c r="B325" s="186" t="s">
        <v>1286</v>
      </c>
      <c r="C325" s="1">
        <v>511545</v>
      </c>
      <c r="D325" s="19" t="s">
        <v>938</v>
      </c>
      <c r="E325" s="74" t="s">
        <v>1287</v>
      </c>
      <c r="G325" s="20">
        <v>1252875000</v>
      </c>
      <c r="H325" s="20">
        <f>H324+Table1[[#This Row],[مبلغ ورود]]-Table1[[#This Row],[مبلغ خروج]]</f>
        <v>25147204646</v>
      </c>
      <c r="I325" s="216"/>
    </row>
    <row r="326" spans="1:9" ht="56.25">
      <c r="A326" s="1">
        <v>323</v>
      </c>
      <c r="B326" s="186" t="s">
        <v>1286</v>
      </c>
      <c r="C326" s="1">
        <v>511546</v>
      </c>
      <c r="D326" s="19" t="s">
        <v>938</v>
      </c>
      <c r="E326" s="74" t="s">
        <v>1288</v>
      </c>
      <c r="G326" s="20">
        <v>272400475</v>
      </c>
      <c r="H326" s="20">
        <f>H325+Table1[[#This Row],[مبلغ ورود]]-Table1[[#This Row],[مبلغ خروج]]</f>
        <v>24874804171</v>
      </c>
      <c r="I326" s="216"/>
    </row>
    <row r="327" spans="1:9" ht="37.5">
      <c r="A327" s="1">
        <v>324</v>
      </c>
      <c r="B327" s="186" t="s">
        <v>1289</v>
      </c>
      <c r="C327" s="1">
        <v>511547</v>
      </c>
      <c r="D327" s="19" t="s">
        <v>938</v>
      </c>
      <c r="E327" s="74" t="s">
        <v>1290</v>
      </c>
      <c r="G327" s="20">
        <v>368011250</v>
      </c>
      <c r="H327" s="20">
        <f>H326+Table1[[#This Row],[مبلغ ورود]]-Table1[[#This Row],[مبلغ خروج]]</f>
        <v>24506792921</v>
      </c>
      <c r="I327" s="216"/>
    </row>
    <row r="328" spans="1:9" ht="56.25">
      <c r="A328" s="1">
        <v>325</v>
      </c>
      <c r="B328" s="186" t="s">
        <v>1291</v>
      </c>
      <c r="C328" s="1">
        <v>511548</v>
      </c>
      <c r="D328" s="19" t="s">
        <v>938</v>
      </c>
      <c r="E328" s="175" t="s">
        <v>1292</v>
      </c>
      <c r="G328" s="20">
        <v>2037108000</v>
      </c>
      <c r="H328" s="20">
        <f>H327+Table1[[#This Row],[مبلغ ورود]]-Table1[[#This Row],[مبلغ خروج]]</f>
        <v>22469684921</v>
      </c>
      <c r="I328" s="216"/>
    </row>
    <row r="329" spans="1:9" ht="56.25">
      <c r="A329" s="1">
        <v>326</v>
      </c>
      <c r="B329" s="186" t="s">
        <v>1293</v>
      </c>
      <c r="C329" s="1">
        <v>511549</v>
      </c>
      <c r="D329" s="19" t="s">
        <v>938</v>
      </c>
      <c r="E329" s="74" t="s">
        <v>1294</v>
      </c>
      <c r="G329" s="20">
        <v>91235656</v>
      </c>
      <c r="H329" s="20">
        <f>H328+Table1[[#This Row],[مبلغ ورود]]-Table1[[#This Row],[مبلغ خروج]]</f>
        <v>22378449265</v>
      </c>
      <c r="I329" s="216"/>
    </row>
    <row r="330" spans="1:9" ht="37.5">
      <c r="A330" s="1">
        <v>327</v>
      </c>
      <c r="B330" s="186" t="s">
        <v>1293</v>
      </c>
      <c r="C330" s="1">
        <v>511550</v>
      </c>
      <c r="D330" s="19" t="s">
        <v>938</v>
      </c>
      <c r="E330" s="74" t="s">
        <v>793</v>
      </c>
      <c r="G330" s="20">
        <v>10000000000</v>
      </c>
      <c r="H330" s="20">
        <f>H329+Table1[[#This Row],[مبلغ ورود]]-Table1[[#This Row],[مبلغ خروج]]</f>
        <v>12378449265</v>
      </c>
      <c r="I330" s="216"/>
    </row>
    <row r="331" spans="1:9" ht="37.5">
      <c r="A331" s="1">
        <v>328</v>
      </c>
      <c r="B331" s="186" t="s">
        <v>1295</v>
      </c>
      <c r="C331" s="1">
        <v>911601</v>
      </c>
      <c r="D331" s="19" t="s">
        <v>938</v>
      </c>
      <c r="E331" s="74" t="s">
        <v>1296</v>
      </c>
      <c r="G331" s="20">
        <v>16674935</v>
      </c>
      <c r="H331" s="20">
        <f>H330+Table1[[#This Row],[مبلغ ورود]]-Table1[[#This Row],[مبلغ خروج]]</f>
        <v>12361774330</v>
      </c>
      <c r="I331" s="216"/>
    </row>
    <row r="332" spans="1:9" ht="37.5">
      <c r="A332" s="1">
        <v>329</v>
      </c>
      <c r="B332" s="186" t="s">
        <v>1295</v>
      </c>
      <c r="C332" s="1">
        <v>911602</v>
      </c>
      <c r="D332" s="19" t="s">
        <v>938</v>
      </c>
      <c r="E332" s="74" t="s">
        <v>1297</v>
      </c>
      <c r="G332" s="20">
        <v>45194725</v>
      </c>
      <c r="H332" s="20">
        <f>H331+Table1[[#This Row],[مبلغ ورود]]-Table1[[#This Row],[مبلغ خروج]]</f>
        <v>12316579605</v>
      </c>
      <c r="I332" s="216"/>
    </row>
    <row r="333" spans="1:9" ht="37.5">
      <c r="A333" s="1">
        <v>330</v>
      </c>
      <c r="B333" s="186" t="s">
        <v>1295</v>
      </c>
      <c r="C333" s="1">
        <v>911603</v>
      </c>
      <c r="D333" s="19" t="s">
        <v>938</v>
      </c>
      <c r="E333" s="74" t="s">
        <v>1298</v>
      </c>
      <c r="G333" s="20">
        <v>144608144</v>
      </c>
      <c r="H333" s="20">
        <f>H332+Table1[[#This Row],[مبلغ ورود]]-Table1[[#This Row],[مبلغ خروج]]</f>
        <v>12171971461</v>
      </c>
      <c r="I333" s="216"/>
    </row>
    <row r="334" spans="1:9" ht="37.5">
      <c r="A334" s="1">
        <v>331</v>
      </c>
      <c r="B334" s="186" t="s">
        <v>1295</v>
      </c>
      <c r="C334" s="1">
        <v>911604</v>
      </c>
      <c r="D334" s="19" t="s">
        <v>938</v>
      </c>
      <c r="E334" s="74" t="s">
        <v>1299</v>
      </c>
      <c r="G334" s="20">
        <v>98100000</v>
      </c>
      <c r="H334" s="20">
        <f>H333+Table1[[#This Row],[مبلغ ورود]]-Table1[[#This Row],[مبلغ خروج]]</f>
        <v>12073871461</v>
      </c>
      <c r="I334" s="216"/>
    </row>
    <row r="335" spans="1:9" ht="56.25">
      <c r="A335" s="1">
        <v>332</v>
      </c>
      <c r="B335" s="186" t="s">
        <v>1295</v>
      </c>
      <c r="C335" s="1">
        <v>911605</v>
      </c>
      <c r="D335" s="19" t="s">
        <v>938</v>
      </c>
      <c r="E335" s="74" t="s">
        <v>1300</v>
      </c>
      <c r="G335" s="20">
        <v>260592490</v>
      </c>
      <c r="H335" s="20">
        <f>H334+Table1[[#This Row],[مبلغ ورود]]-Table1[[#This Row],[مبلغ خروج]]</f>
        <v>11813278971</v>
      </c>
      <c r="I335" s="216"/>
    </row>
    <row r="336" spans="1:9" ht="56.25">
      <c r="A336" s="1">
        <v>333</v>
      </c>
      <c r="B336" s="186" t="s">
        <v>1295</v>
      </c>
      <c r="C336" s="1">
        <v>911606</v>
      </c>
      <c r="D336" s="19" t="s">
        <v>938</v>
      </c>
      <c r="E336" s="74" t="s">
        <v>1301</v>
      </c>
      <c r="G336" s="20">
        <v>180000000</v>
      </c>
      <c r="H336" s="20">
        <f>H335+Table1[[#This Row],[مبلغ ورود]]-Table1[[#This Row],[مبلغ خروج]]</f>
        <v>11633278971</v>
      </c>
      <c r="I336" s="216"/>
    </row>
    <row r="337" spans="1:9" ht="37.5">
      <c r="A337" s="1">
        <v>334</v>
      </c>
      <c r="B337" s="186" t="s">
        <v>1302</v>
      </c>
      <c r="C337" s="1">
        <v>911607</v>
      </c>
      <c r="D337" s="19" t="s">
        <v>938</v>
      </c>
      <c r="E337" s="74" t="s">
        <v>793</v>
      </c>
      <c r="G337" s="20">
        <v>5000000000</v>
      </c>
      <c r="H337" s="20">
        <f>H336+Table1[[#This Row],[مبلغ ورود]]-Table1[[#This Row],[مبلغ خروج]]</f>
        <v>6633278971</v>
      </c>
      <c r="I337" s="216"/>
    </row>
    <row r="338" spans="1:9" ht="56.25">
      <c r="A338" s="1">
        <v>335</v>
      </c>
      <c r="B338" s="186" t="s">
        <v>1303</v>
      </c>
      <c r="C338" s="1">
        <v>911608</v>
      </c>
      <c r="D338" s="19" t="s">
        <v>938</v>
      </c>
      <c r="E338" s="74" t="s">
        <v>1304</v>
      </c>
      <c r="G338" s="20">
        <v>82568430</v>
      </c>
      <c r="H338" s="20">
        <f>H337+Table1[[#This Row],[مبلغ ورود]]-Table1[[#This Row],[مبلغ خروج]]</f>
        <v>6550710541</v>
      </c>
      <c r="I338" s="216"/>
    </row>
    <row r="339" spans="1:9" ht="21">
      <c r="A339" s="1">
        <v>336</v>
      </c>
      <c r="B339" s="186" t="s">
        <v>1305</v>
      </c>
      <c r="C339" s="1">
        <v>911609</v>
      </c>
      <c r="D339" s="19" t="s">
        <v>938</v>
      </c>
      <c r="E339" s="74" t="s">
        <v>710</v>
      </c>
      <c r="G339" s="20">
        <v>3000000000</v>
      </c>
      <c r="H339" s="20">
        <f>H338+Table1[[#This Row],[مبلغ ورود]]-Table1[[#This Row],[مبلغ خروج]]</f>
        <v>3550710541</v>
      </c>
      <c r="I339" s="216"/>
    </row>
    <row r="340" spans="1:9" ht="37.5">
      <c r="A340" s="1">
        <v>337</v>
      </c>
      <c r="B340" s="186" t="s">
        <v>1305</v>
      </c>
      <c r="C340" s="1">
        <v>911610</v>
      </c>
      <c r="D340" s="19" t="s">
        <v>938</v>
      </c>
      <c r="E340" s="74" t="s">
        <v>1306</v>
      </c>
      <c r="G340" s="20">
        <v>35535000</v>
      </c>
      <c r="H340" s="20">
        <f>H339+Table1[[#This Row],[مبلغ ورود]]-Table1[[#This Row],[مبلغ خروج]]</f>
        <v>3515175541</v>
      </c>
      <c r="I340" s="216"/>
    </row>
    <row r="341" spans="1:9" ht="56.25">
      <c r="A341" s="1">
        <v>338</v>
      </c>
      <c r="B341" s="186" t="s">
        <v>1305</v>
      </c>
      <c r="C341" s="1">
        <v>911611</v>
      </c>
      <c r="D341" s="19" t="s">
        <v>938</v>
      </c>
      <c r="E341" s="74" t="s">
        <v>1099</v>
      </c>
      <c r="G341" s="20">
        <v>1000000000</v>
      </c>
      <c r="H341" s="20">
        <f>H340+Table1[[#This Row],[مبلغ ورود]]-Table1[[#This Row],[مبلغ خروج]]</f>
        <v>2515175541</v>
      </c>
      <c r="I341" s="216"/>
    </row>
    <row r="342" spans="1:9" ht="56.25">
      <c r="A342" s="1">
        <v>339</v>
      </c>
      <c r="B342" s="186" t="s">
        <v>1307</v>
      </c>
      <c r="C342" s="1">
        <v>911612</v>
      </c>
      <c r="D342" s="19" t="s">
        <v>938</v>
      </c>
      <c r="E342" s="74" t="s">
        <v>1308</v>
      </c>
      <c r="G342" s="20">
        <v>73692820</v>
      </c>
      <c r="H342" s="20">
        <f>H341+Table1[[#This Row],[مبلغ ورود]]-Table1[[#This Row],[مبلغ خروج]]</f>
        <v>2441482721</v>
      </c>
      <c r="I342" s="216"/>
    </row>
    <row r="343" spans="1:9" ht="37.5">
      <c r="A343" s="1">
        <v>340</v>
      </c>
      <c r="B343" s="186" t="s">
        <v>1307</v>
      </c>
      <c r="C343" s="1">
        <v>911613</v>
      </c>
      <c r="D343" s="19" t="s">
        <v>938</v>
      </c>
      <c r="E343" s="74" t="s">
        <v>1309</v>
      </c>
      <c r="G343" s="20">
        <v>232922400</v>
      </c>
      <c r="H343" s="20">
        <f>H342+Table1[[#This Row],[مبلغ ورود]]-Table1[[#This Row],[مبلغ خروج]]</f>
        <v>2208560321</v>
      </c>
      <c r="I343" s="216"/>
    </row>
    <row r="344" spans="1:9" ht="37.5">
      <c r="A344" s="1">
        <v>341</v>
      </c>
      <c r="B344" s="186" t="s">
        <v>1310</v>
      </c>
      <c r="C344" s="1">
        <v>911614</v>
      </c>
      <c r="D344" s="19" t="s">
        <v>938</v>
      </c>
      <c r="E344" s="74" t="s">
        <v>793</v>
      </c>
      <c r="G344" s="20">
        <v>10000000000</v>
      </c>
      <c r="H344" s="20">
        <f>H343+Table1[[#This Row],[مبلغ ورود]]-Table1[[#This Row],[مبلغ خروج]]</f>
        <v>-7791439679</v>
      </c>
      <c r="I344" s="216"/>
    </row>
    <row r="345" spans="1:9" ht="37.5">
      <c r="A345" s="1">
        <v>342</v>
      </c>
      <c r="B345" s="186" t="s">
        <v>1310</v>
      </c>
      <c r="C345" s="1">
        <v>911615</v>
      </c>
      <c r="D345" s="19" t="s">
        <v>938</v>
      </c>
      <c r="E345" s="74" t="s">
        <v>1311</v>
      </c>
      <c r="G345" s="20">
        <v>7109300000</v>
      </c>
      <c r="H345" s="20">
        <f>H344+Table1[[#This Row],[مبلغ ورود]]-Table1[[#This Row],[مبلغ خروج]]</f>
        <v>-14900739679</v>
      </c>
      <c r="I345" s="216"/>
    </row>
    <row r="346" spans="1:9" ht="21">
      <c r="A346" s="1">
        <v>343</v>
      </c>
      <c r="B346" s="186" t="s">
        <v>1310</v>
      </c>
      <c r="C346" s="1"/>
      <c r="E346" s="74" t="s">
        <v>1089</v>
      </c>
      <c r="F346" s="73">
        <v>20000000000</v>
      </c>
      <c r="H346" s="20">
        <f>H345+Table1[[#This Row],[مبلغ ورود]]-Table1[[#This Row],[مبلغ خروج]]</f>
        <v>5099260321</v>
      </c>
      <c r="I346" s="216"/>
    </row>
    <row r="347" spans="1:9" ht="37.5">
      <c r="A347" s="1">
        <v>344</v>
      </c>
      <c r="B347" s="186" t="s">
        <v>1313</v>
      </c>
      <c r="C347" s="1">
        <v>911616</v>
      </c>
      <c r="D347" s="19" t="s">
        <v>938</v>
      </c>
      <c r="E347" s="74" t="s">
        <v>1312</v>
      </c>
      <c r="G347" s="20">
        <v>300000000</v>
      </c>
      <c r="H347" s="20">
        <f>H346+Table1[[#This Row],[مبلغ ورود]]-Table1[[#This Row],[مبلغ خروج]]</f>
        <v>4799260321</v>
      </c>
      <c r="I347" s="216"/>
    </row>
    <row r="348" spans="1:9" ht="56.25">
      <c r="A348" s="1">
        <v>345</v>
      </c>
      <c r="B348" s="186" t="s">
        <v>1313</v>
      </c>
      <c r="C348" s="1">
        <v>911617</v>
      </c>
      <c r="D348" s="19" t="s">
        <v>938</v>
      </c>
      <c r="E348" s="74" t="s">
        <v>1314</v>
      </c>
      <c r="G348" s="20">
        <v>3108394420</v>
      </c>
      <c r="H348" s="20">
        <f>H347+Table1[[#This Row],[مبلغ ورود]]-Table1[[#This Row],[مبلغ خروج]]</f>
        <v>1690865901</v>
      </c>
      <c r="I348" s="216"/>
    </row>
    <row r="349" spans="1:9" ht="21">
      <c r="A349" s="1">
        <v>346</v>
      </c>
      <c r="B349" s="186" t="s">
        <v>1313</v>
      </c>
      <c r="C349" s="1"/>
      <c r="E349" s="74" t="s">
        <v>1086</v>
      </c>
      <c r="F349" s="73">
        <v>10000000000</v>
      </c>
      <c r="H349" s="20">
        <f>H348+Table1[[#This Row],[مبلغ ورود]]-Table1[[#This Row],[مبلغ خروج]]</f>
        <v>11690865901</v>
      </c>
      <c r="I349" s="216"/>
    </row>
    <row r="350" spans="1:9" ht="56.25">
      <c r="A350" s="1">
        <v>347</v>
      </c>
      <c r="B350" s="186" t="s">
        <v>1315</v>
      </c>
      <c r="C350" s="1">
        <v>911618</v>
      </c>
      <c r="D350" s="19" t="s">
        <v>938</v>
      </c>
      <c r="E350" s="74" t="s">
        <v>1316</v>
      </c>
      <c r="G350" s="20">
        <v>105412683</v>
      </c>
      <c r="H350" s="20">
        <f>H349+Table1[[#This Row],[مبلغ ورود]]-Table1[[#This Row],[مبلغ خروج]]</f>
        <v>11585453218</v>
      </c>
      <c r="I350" s="216"/>
    </row>
    <row r="351" spans="1:9" ht="37.5">
      <c r="A351" s="1">
        <v>348</v>
      </c>
      <c r="B351" s="186" t="s">
        <v>1315</v>
      </c>
      <c r="C351" s="1">
        <v>911619</v>
      </c>
      <c r="D351" s="19" t="s">
        <v>938</v>
      </c>
      <c r="E351" s="74" t="s">
        <v>793</v>
      </c>
      <c r="G351" s="20">
        <v>7000000000</v>
      </c>
      <c r="H351" s="20">
        <f>H350+Table1[[#This Row],[مبلغ ورود]]-Table1[[#This Row],[مبلغ خروج]]</f>
        <v>4585453218</v>
      </c>
      <c r="I351" s="216"/>
    </row>
    <row r="352" spans="1:9" ht="56.25">
      <c r="A352" s="1">
        <v>349</v>
      </c>
      <c r="B352" s="186" t="s">
        <v>1315</v>
      </c>
      <c r="C352" s="1">
        <v>911620</v>
      </c>
      <c r="D352" s="19" t="s">
        <v>938</v>
      </c>
      <c r="E352" s="74" t="s">
        <v>1317</v>
      </c>
      <c r="G352" s="20">
        <v>69876720</v>
      </c>
      <c r="H352" s="20">
        <f>H351+Table1[[#This Row],[مبلغ ورود]]-Table1[[#This Row],[مبلغ خروج]]</f>
        <v>4515576498</v>
      </c>
      <c r="I352" s="216"/>
    </row>
    <row r="353" spans="1:9" ht="56.25">
      <c r="A353" s="1">
        <v>350</v>
      </c>
      <c r="B353" s="186" t="s">
        <v>1315</v>
      </c>
      <c r="C353" s="1">
        <v>911621</v>
      </c>
      <c r="D353" s="19" t="s">
        <v>938</v>
      </c>
      <c r="E353" s="74" t="s">
        <v>1318</v>
      </c>
      <c r="G353" s="20">
        <v>45120180</v>
      </c>
      <c r="H353" s="20">
        <f>H352+Table1[[#This Row],[مبلغ ورود]]-Table1[[#This Row],[مبلغ خروج]]</f>
        <v>4470456318</v>
      </c>
      <c r="I353" s="216"/>
    </row>
    <row r="354" spans="1:9" ht="37.5">
      <c r="A354" s="1">
        <v>351</v>
      </c>
      <c r="B354" s="186" t="s">
        <v>1319</v>
      </c>
      <c r="C354" s="1">
        <v>911622</v>
      </c>
      <c r="D354" s="19" t="s">
        <v>938</v>
      </c>
      <c r="E354" s="74" t="s">
        <v>1320</v>
      </c>
      <c r="G354" s="20">
        <v>568622196</v>
      </c>
      <c r="H354" s="20">
        <f>H353+Table1[[#This Row],[مبلغ ورود]]-Table1[[#This Row],[مبلغ خروج]]</f>
        <v>3901834122</v>
      </c>
      <c r="I354" s="216"/>
    </row>
    <row r="355" spans="1:9" ht="37.5">
      <c r="A355" s="1">
        <v>352</v>
      </c>
      <c r="B355" s="186" t="s">
        <v>1319</v>
      </c>
      <c r="C355" s="1">
        <v>911623</v>
      </c>
      <c r="D355" s="19" t="s">
        <v>938</v>
      </c>
      <c r="E355" s="74" t="s">
        <v>1321</v>
      </c>
      <c r="G355" s="20">
        <v>456009959</v>
      </c>
      <c r="H355" s="20">
        <f>H354+Table1[[#This Row],[مبلغ ورود]]-Table1[[#This Row],[مبلغ خروج]]</f>
        <v>3445824163</v>
      </c>
      <c r="I355" s="216"/>
    </row>
    <row r="356" spans="1:9" ht="37.5">
      <c r="A356" s="1">
        <v>353</v>
      </c>
      <c r="B356" s="186" t="s">
        <v>1319</v>
      </c>
      <c r="C356" s="1">
        <v>911624</v>
      </c>
      <c r="D356" s="19" t="s">
        <v>938</v>
      </c>
      <c r="E356" s="151" t="s">
        <v>1322</v>
      </c>
      <c r="G356" s="20">
        <v>2500000000</v>
      </c>
      <c r="H356" s="20">
        <f>H355+Table1[[#This Row],[مبلغ ورود]]-Table1[[#This Row],[مبلغ خروج]]</f>
        <v>945824163</v>
      </c>
      <c r="I356" s="216"/>
    </row>
    <row r="357" spans="1:9" ht="21">
      <c r="A357" s="1">
        <v>354</v>
      </c>
      <c r="B357" s="186" t="s">
        <v>1319</v>
      </c>
      <c r="C357" s="1">
        <v>911625</v>
      </c>
      <c r="D357" s="19" t="s">
        <v>938</v>
      </c>
      <c r="E357" s="74" t="s">
        <v>710</v>
      </c>
      <c r="G357" s="20">
        <v>3500000000</v>
      </c>
      <c r="H357" s="20">
        <f>H356+Table1[[#This Row],[مبلغ ورود]]-Table1[[#This Row],[مبلغ خروج]]</f>
        <v>-2554175837</v>
      </c>
      <c r="I357" s="216"/>
    </row>
    <row r="358" spans="1:9" ht="21">
      <c r="A358" s="1">
        <v>355</v>
      </c>
      <c r="B358" s="186" t="s">
        <v>1319</v>
      </c>
      <c r="C358" s="1"/>
      <c r="E358" s="74" t="s">
        <v>1168</v>
      </c>
      <c r="F358" s="73">
        <v>70000000000</v>
      </c>
      <c r="H358" s="20">
        <f>H357+Table1[[#This Row],[مبلغ ورود]]-Table1[[#This Row],[مبلغ خروج]]</f>
        <v>67445824163</v>
      </c>
      <c r="I358" s="216"/>
    </row>
    <row r="359" spans="1:9" ht="21">
      <c r="A359" s="1">
        <v>356</v>
      </c>
      <c r="B359" s="186" t="s">
        <v>1319</v>
      </c>
      <c r="C359" s="1"/>
      <c r="E359" s="74" t="s">
        <v>1168</v>
      </c>
      <c r="F359" s="73">
        <v>10000000000</v>
      </c>
      <c r="H359" s="20">
        <f>H358+Table1[[#This Row],[مبلغ ورود]]-Table1[[#This Row],[مبلغ خروج]]</f>
        <v>77445824163</v>
      </c>
      <c r="I359" s="216"/>
    </row>
    <row r="360" spans="1:9" ht="37.5">
      <c r="A360" s="1">
        <v>357</v>
      </c>
      <c r="B360" s="186" t="s">
        <v>1323</v>
      </c>
      <c r="C360" s="1">
        <v>911626</v>
      </c>
      <c r="D360" s="19" t="s">
        <v>938</v>
      </c>
      <c r="E360" s="74" t="s">
        <v>793</v>
      </c>
      <c r="G360" s="20">
        <v>20000000000</v>
      </c>
      <c r="H360" s="20">
        <f>H359+Table1[[#This Row],[مبلغ ورود]]-Table1[[#This Row],[مبلغ خروج]]</f>
        <v>57445824163</v>
      </c>
      <c r="I360" s="216"/>
    </row>
    <row r="361" spans="1:9" ht="56.25">
      <c r="A361" s="1">
        <v>358</v>
      </c>
      <c r="B361" s="186" t="s">
        <v>1323</v>
      </c>
      <c r="C361" s="1">
        <v>911627</v>
      </c>
      <c r="D361" s="19" t="s">
        <v>938</v>
      </c>
      <c r="E361" s="74" t="s">
        <v>1324</v>
      </c>
      <c r="G361" s="20">
        <v>45967500</v>
      </c>
      <c r="H361" s="20">
        <f>H360+Table1[[#This Row],[مبلغ ورود]]-Table1[[#This Row],[مبلغ خروج]]</f>
        <v>57399856663</v>
      </c>
      <c r="I361" s="216"/>
    </row>
    <row r="362" spans="1:9" ht="37.5">
      <c r="A362" s="1">
        <v>359</v>
      </c>
      <c r="B362" s="186" t="s">
        <v>1326</v>
      </c>
      <c r="C362" s="1">
        <v>911628</v>
      </c>
      <c r="D362" s="19" t="s">
        <v>938</v>
      </c>
      <c r="E362" s="74" t="s">
        <v>1325</v>
      </c>
      <c r="G362" s="20">
        <v>7068250000</v>
      </c>
      <c r="H362" s="20">
        <f>H361+Table1[[#This Row],[مبلغ ورود]]-Table1[[#This Row],[مبلغ خروج]]</f>
        <v>50331606663</v>
      </c>
      <c r="I362" s="216"/>
    </row>
    <row r="363" spans="1:9" ht="56.25">
      <c r="A363" s="1">
        <v>360</v>
      </c>
      <c r="B363" s="186" t="s">
        <v>1326</v>
      </c>
      <c r="C363" s="1">
        <v>911629</v>
      </c>
      <c r="D363" s="19" t="s">
        <v>938</v>
      </c>
      <c r="E363" s="74" t="s">
        <v>1327</v>
      </c>
      <c r="G363" s="20">
        <v>106650972</v>
      </c>
      <c r="H363" s="20">
        <f>H362+Table1[[#This Row],[مبلغ ورود]]-Table1[[#This Row],[مبلغ خروج]]</f>
        <v>50224955691</v>
      </c>
      <c r="I363" s="216"/>
    </row>
    <row r="364" spans="1:9" ht="37.5">
      <c r="A364" s="1">
        <v>361</v>
      </c>
      <c r="B364" s="186" t="s">
        <v>1326</v>
      </c>
      <c r="C364" s="1">
        <v>911630</v>
      </c>
      <c r="D364" s="19" t="s">
        <v>938</v>
      </c>
      <c r="E364" s="74" t="s">
        <v>1328</v>
      </c>
      <c r="G364" s="20">
        <v>58822000</v>
      </c>
      <c r="H364" s="20">
        <f>H363+Table1[[#This Row],[مبلغ ورود]]-Table1[[#This Row],[مبلغ خروج]]</f>
        <v>50166133691</v>
      </c>
      <c r="I364" s="216"/>
    </row>
    <row r="365" spans="1:9" ht="56.25">
      <c r="A365" s="1">
        <v>362</v>
      </c>
      <c r="B365" s="186" t="s">
        <v>1326</v>
      </c>
      <c r="C365" s="1">
        <v>911631</v>
      </c>
      <c r="D365" s="19" t="s">
        <v>938</v>
      </c>
      <c r="E365" s="175" t="s">
        <v>1329</v>
      </c>
      <c r="G365" s="20">
        <v>2053715000</v>
      </c>
      <c r="H365" s="20">
        <f>H364+Table1[[#This Row],[مبلغ ورود]]-Table1[[#This Row],[مبلغ خروج]]</f>
        <v>48112418691</v>
      </c>
      <c r="I365" s="216"/>
    </row>
    <row r="366" spans="1:9" ht="56.25">
      <c r="A366" s="1">
        <v>363</v>
      </c>
      <c r="B366" s="186" t="s">
        <v>1326</v>
      </c>
      <c r="C366" s="1">
        <v>911632</v>
      </c>
      <c r="D366" s="19" t="s">
        <v>938</v>
      </c>
      <c r="E366" s="74" t="s">
        <v>1330</v>
      </c>
      <c r="G366" s="20">
        <v>465400000</v>
      </c>
      <c r="H366" s="20">
        <f>H365+Table1[[#This Row],[مبلغ ورود]]-Table1[[#This Row],[مبلغ خروج]]</f>
        <v>47647018691</v>
      </c>
      <c r="I366" s="216"/>
    </row>
    <row r="367" spans="1:9" ht="37.5">
      <c r="A367" s="1">
        <v>364</v>
      </c>
      <c r="B367" s="186" t="s">
        <v>1326</v>
      </c>
      <c r="C367" s="1">
        <v>911633</v>
      </c>
      <c r="D367" s="19" t="s">
        <v>938</v>
      </c>
      <c r="E367" s="74" t="s">
        <v>793</v>
      </c>
      <c r="G367" s="20">
        <v>5000000000</v>
      </c>
      <c r="H367" s="20">
        <f>H366+Table1[[#This Row],[مبلغ ورود]]-Table1[[#This Row],[مبلغ خروج]]</f>
        <v>42647018691</v>
      </c>
      <c r="I367" s="216"/>
    </row>
    <row r="368" spans="1:9" ht="37.5">
      <c r="A368" s="1">
        <v>365</v>
      </c>
      <c r="B368" s="186" t="s">
        <v>1326</v>
      </c>
      <c r="C368" s="1">
        <v>911634</v>
      </c>
      <c r="D368" s="19" t="s">
        <v>938</v>
      </c>
      <c r="E368" s="74" t="s">
        <v>1331</v>
      </c>
      <c r="G368" s="20">
        <v>156000000</v>
      </c>
      <c r="H368" s="20">
        <f>H367+Table1[[#This Row],[مبلغ ورود]]-Table1[[#This Row],[مبلغ خروج]]</f>
        <v>42491018691</v>
      </c>
      <c r="I368" s="216"/>
    </row>
    <row r="369" spans="1:9" ht="56.25">
      <c r="A369" s="1">
        <v>366</v>
      </c>
      <c r="B369" s="186" t="s">
        <v>1332</v>
      </c>
      <c r="C369" s="1">
        <v>911635</v>
      </c>
      <c r="D369" s="19" t="s">
        <v>938</v>
      </c>
      <c r="E369" s="74" t="s">
        <v>1333</v>
      </c>
      <c r="G369" s="20">
        <f>16800000+6300000</f>
        <v>23100000</v>
      </c>
      <c r="H369" s="20">
        <f>H368+Table1[[#This Row],[مبلغ ورود]]-Table1[[#This Row],[مبلغ خروج]]</f>
        <v>42467918691</v>
      </c>
      <c r="I369" s="216"/>
    </row>
    <row r="370" spans="1:9" ht="37.5">
      <c r="A370" s="1">
        <v>367</v>
      </c>
      <c r="B370" s="186" t="s">
        <v>1332</v>
      </c>
      <c r="C370" s="1">
        <v>911636</v>
      </c>
      <c r="D370" s="19" t="s">
        <v>938</v>
      </c>
      <c r="E370" s="74" t="s">
        <v>1334</v>
      </c>
      <c r="G370" s="20">
        <v>774715500</v>
      </c>
      <c r="H370" s="20">
        <f>H369+Table1[[#This Row],[مبلغ ورود]]-Table1[[#This Row],[مبلغ خروج]]</f>
        <v>41693203191</v>
      </c>
      <c r="I370" s="216"/>
    </row>
    <row r="371" spans="1:9" ht="37.5">
      <c r="A371" s="1">
        <v>368</v>
      </c>
      <c r="B371" s="186" t="s">
        <v>1335</v>
      </c>
      <c r="C371" s="1">
        <v>911637</v>
      </c>
      <c r="D371" s="19" t="s">
        <v>938</v>
      </c>
      <c r="E371" s="74" t="s">
        <v>1336</v>
      </c>
      <c r="G371" s="20">
        <v>1199000000</v>
      </c>
      <c r="H371" s="20">
        <f>H370+Table1[[#This Row],[مبلغ ورود]]-Table1[[#This Row],[مبلغ خروج]]</f>
        <v>40494203191</v>
      </c>
      <c r="I371" s="216"/>
    </row>
    <row r="372" spans="1:9" ht="56.25">
      <c r="A372" s="1">
        <v>369</v>
      </c>
      <c r="B372" s="186" t="s">
        <v>1335</v>
      </c>
      <c r="C372" s="1">
        <v>911638</v>
      </c>
      <c r="D372" s="19" t="s">
        <v>938</v>
      </c>
      <c r="E372" s="74" t="s">
        <v>1337</v>
      </c>
      <c r="G372" s="20">
        <v>60208646</v>
      </c>
      <c r="H372" s="20">
        <f>H371+Table1[[#This Row],[مبلغ ورود]]-Table1[[#This Row],[مبلغ خروج]]</f>
        <v>40433994545</v>
      </c>
      <c r="I372" s="216"/>
    </row>
    <row r="373" spans="1:9" ht="21">
      <c r="A373" s="1">
        <v>370</v>
      </c>
      <c r="B373" s="186" t="s">
        <v>1335</v>
      </c>
      <c r="C373" s="1"/>
      <c r="E373" s="74" t="s">
        <v>1338</v>
      </c>
      <c r="F373" s="191">
        <v>1511100572</v>
      </c>
      <c r="H373" s="20">
        <f>H372+Table1[[#This Row],[مبلغ ورود]]-Table1[[#This Row],[مبلغ خروج]]</f>
        <v>41945095117</v>
      </c>
      <c r="I373" s="216"/>
    </row>
    <row r="374" spans="1:9" ht="21">
      <c r="A374" s="1">
        <v>371</v>
      </c>
      <c r="B374" s="186" t="s">
        <v>1340</v>
      </c>
      <c r="C374" s="1"/>
      <c r="E374" s="74" t="s">
        <v>1339</v>
      </c>
      <c r="F374" s="191">
        <v>21394130</v>
      </c>
      <c r="H374" s="20">
        <f>H373+Table1[[#This Row],[مبلغ ورود]]-Table1[[#This Row],[مبلغ خروج]]</f>
        <v>41966489247</v>
      </c>
      <c r="I374" s="216"/>
    </row>
    <row r="375" spans="1:9" ht="56.25">
      <c r="A375" s="1">
        <v>372</v>
      </c>
      <c r="B375" s="186" t="s">
        <v>1341</v>
      </c>
      <c r="C375" s="1">
        <v>911639</v>
      </c>
      <c r="D375" s="19" t="s">
        <v>938</v>
      </c>
      <c r="E375" s="74" t="s">
        <v>1342</v>
      </c>
      <c r="F375" s="191"/>
      <c r="G375" s="20">
        <v>678107388</v>
      </c>
      <c r="H375" s="20">
        <f>H374+Table1[[#This Row],[مبلغ ورود]]-Table1[[#This Row],[مبلغ خروج]]</f>
        <v>41288381859</v>
      </c>
      <c r="I375" s="216"/>
    </row>
    <row r="376" spans="1:9" ht="37.5">
      <c r="A376" s="1">
        <v>373</v>
      </c>
      <c r="B376" s="186" t="s">
        <v>1341</v>
      </c>
      <c r="C376" s="1">
        <v>911640</v>
      </c>
      <c r="D376" s="19" t="s">
        <v>938</v>
      </c>
      <c r="E376" s="74" t="s">
        <v>1343</v>
      </c>
      <c r="F376" s="191"/>
      <c r="G376" s="20">
        <v>295000000</v>
      </c>
      <c r="H376" s="20">
        <f>H375+Table1[[#This Row],[مبلغ ورود]]-Table1[[#This Row],[مبلغ خروج]]</f>
        <v>40993381859</v>
      </c>
      <c r="I376" s="216"/>
    </row>
    <row r="377" spans="1:9" ht="56.25">
      <c r="A377" s="1">
        <v>374</v>
      </c>
      <c r="B377" s="186" t="s">
        <v>1341</v>
      </c>
      <c r="C377" s="1">
        <v>911641</v>
      </c>
      <c r="D377" s="19" t="s">
        <v>938</v>
      </c>
      <c r="E377" s="74" t="s">
        <v>1344</v>
      </c>
      <c r="G377" s="20">
        <v>5453004465</v>
      </c>
      <c r="H377" s="20">
        <f>H376+Table1[[#This Row],[مبلغ ورود]]-Table1[[#This Row],[مبلغ خروج]]</f>
        <v>35540377394</v>
      </c>
      <c r="I377" s="216"/>
    </row>
    <row r="378" spans="1:9" ht="56.25">
      <c r="A378" s="1">
        <v>375</v>
      </c>
      <c r="B378" s="186" t="s">
        <v>1341</v>
      </c>
      <c r="C378" s="1">
        <v>911642</v>
      </c>
      <c r="D378" s="19" t="s">
        <v>938</v>
      </c>
      <c r="E378" s="74" t="s">
        <v>1345</v>
      </c>
      <c r="G378" s="20">
        <v>104858000</v>
      </c>
      <c r="H378" s="20">
        <f>H377+Table1[[#This Row],[مبلغ ورود]]-Table1[[#This Row],[مبلغ خروج]]</f>
        <v>35435519394</v>
      </c>
      <c r="I378" s="216"/>
    </row>
    <row r="379" spans="1:9" ht="56.25">
      <c r="A379" s="1">
        <v>376</v>
      </c>
      <c r="B379" s="186" t="s">
        <v>1341</v>
      </c>
      <c r="C379" s="1">
        <v>911643</v>
      </c>
      <c r="D379" s="19" t="s">
        <v>938</v>
      </c>
      <c r="E379" s="74" t="s">
        <v>1346</v>
      </c>
      <c r="G379" s="20">
        <v>212000000</v>
      </c>
      <c r="H379" s="20">
        <f>H378+Table1[[#This Row],[مبلغ ورود]]-Table1[[#This Row],[مبلغ خروج]]</f>
        <v>35223519394</v>
      </c>
      <c r="I379" s="216"/>
    </row>
    <row r="380" spans="1:9" ht="56.25">
      <c r="A380" s="1">
        <v>377</v>
      </c>
      <c r="B380" s="186" t="s">
        <v>1347</v>
      </c>
      <c r="C380" s="1">
        <v>911644</v>
      </c>
      <c r="D380" s="19" t="s">
        <v>938</v>
      </c>
      <c r="E380" s="74" t="s">
        <v>1348</v>
      </c>
      <c r="G380" s="20">
        <v>1084746600</v>
      </c>
      <c r="H380" s="20">
        <f>H379+Table1[[#This Row],[مبلغ ورود]]-Table1[[#This Row],[مبلغ خروج]]</f>
        <v>34138772794</v>
      </c>
      <c r="I380" s="216"/>
    </row>
    <row r="381" spans="1:9" ht="56.25">
      <c r="A381" s="1">
        <v>378</v>
      </c>
      <c r="B381" s="186" t="s">
        <v>1347</v>
      </c>
      <c r="C381" s="1">
        <v>911645</v>
      </c>
      <c r="D381" s="19" t="s">
        <v>938</v>
      </c>
      <c r="E381" s="74" t="s">
        <v>1349</v>
      </c>
      <c r="G381" s="20">
        <v>274242272</v>
      </c>
      <c r="H381" s="20">
        <f>H380+Table1[[#This Row],[مبلغ ورود]]-Table1[[#This Row],[مبلغ خروج]]</f>
        <v>33864530522</v>
      </c>
      <c r="I381" s="216"/>
    </row>
    <row r="382" spans="1:9" ht="37.5">
      <c r="A382" s="1">
        <v>379</v>
      </c>
      <c r="B382" s="186" t="s">
        <v>1347</v>
      </c>
      <c r="C382" s="1">
        <v>911646</v>
      </c>
      <c r="D382" s="19" t="s">
        <v>938</v>
      </c>
      <c r="E382" s="74" t="s">
        <v>793</v>
      </c>
      <c r="G382" s="20">
        <v>15000000000</v>
      </c>
      <c r="H382" s="20">
        <f>H381+Table1[[#This Row],[مبلغ ورود]]-Table1[[#This Row],[مبلغ خروج]]</f>
        <v>18864530522</v>
      </c>
      <c r="I382" s="216"/>
    </row>
    <row r="383" spans="1:9" ht="37.5">
      <c r="A383" s="1">
        <v>380</v>
      </c>
      <c r="B383" s="186" t="s">
        <v>1347</v>
      </c>
      <c r="C383" s="1">
        <v>911647</v>
      </c>
      <c r="D383" s="19" t="s">
        <v>938</v>
      </c>
      <c r="E383" s="74" t="s">
        <v>1350</v>
      </c>
      <c r="G383" s="20">
        <v>2000000000</v>
      </c>
      <c r="H383" s="20">
        <f>H382+Table1[[#This Row],[مبلغ ورود]]-Table1[[#This Row],[مبلغ خروج]]</f>
        <v>16864530522</v>
      </c>
      <c r="I383" s="216"/>
    </row>
    <row r="384" spans="1:9" ht="56.25">
      <c r="A384" s="1">
        <v>381</v>
      </c>
      <c r="B384" s="186" t="s">
        <v>1351</v>
      </c>
      <c r="C384" s="1">
        <v>911648</v>
      </c>
      <c r="D384" s="19" t="s">
        <v>938</v>
      </c>
      <c r="E384" s="74" t="s">
        <v>1352</v>
      </c>
      <c r="G384" s="20">
        <v>72810340</v>
      </c>
      <c r="H384" s="20">
        <f>H383+Table1[[#This Row],[مبلغ ورود]]-Table1[[#This Row],[مبلغ خروج]]</f>
        <v>16791720182</v>
      </c>
      <c r="I384" s="216"/>
    </row>
    <row r="385" spans="1:9" ht="21">
      <c r="A385" s="1">
        <v>382</v>
      </c>
      <c r="B385" s="186" t="s">
        <v>1353</v>
      </c>
      <c r="C385" s="1"/>
      <c r="E385" s="74" t="s">
        <v>1050</v>
      </c>
      <c r="F385" s="73">
        <v>80000000000</v>
      </c>
      <c r="H385" s="20">
        <f>H384+Table1[[#This Row],[مبلغ ورود]]-Table1[[#This Row],[مبلغ خروج]]</f>
        <v>96791720182</v>
      </c>
      <c r="I385" s="216"/>
    </row>
    <row r="386" spans="1:9" ht="37.5">
      <c r="A386" s="1">
        <v>383</v>
      </c>
      <c r="B386" s="186" t="s">
        <v>1354</v>
      </c>
      <c r="C386" s="1">
        <v>911649</v>
      </c>
      <c r="D386" s="19" t="s">
        <v>938</v>
      </c>
      <c r="E386" s="74" t="s">
        <v>1355</v>
      </c>
      <c r="G386" s="20">
        <v>20298354713</v>
      </c>
      <c r="H386" s="20">
        <f>H385+Table1[[#This Row],[مبلغ ورود]]-Table1[[#This Row],[مبلغ خروج]]</f>
        <v>76493365469</v>
      </c>
      <c r="I386" s="216"/>
    </row>
    <row r="387" spans="1:9" ht="37.5">
      <c r="A387" s="1">
        <v>384</v>
      </c>
      <c r="B387" s="186" t="s">
        <v>1354</v>
      </c>
      <c r="C387" s="1">
        <v>911650</v>
      </c>
      <c r="D387" s="19" t="s">
        <v>938</v>
      </c>
      <c r="E387" s="74" t="s">
        <v>793</v>
      </c>
      <c r="G387" s="20">
        <v>15000000000</v>
      </c>
      <c r="H387" s="20">
        <f>H386+Table1[[#This Row],[مبلغ ورود]]-Table1[[#This Row],[مبلغ خروج]]</f>
        <v>61493365469</v>
      </c>
      <c r="I387" s="216"/>
    </row>
    <row r="388" spans="1:9" ht="37.5">
      <c r="A388" s="1">
        <v>385</v>
      </c>
      <c r="B388" s="186" t="s">
        <v>1354</v>
      </c>
      <c r="C388" s="1">
        <v>313851</v>
      </c>
      <c r="D388" s="19" t="s">
        <v>938</v>
      </c>
      <c r="E388" s="74" t="s">
        <v>1356</v>
      </c>
      <c r="G388" s="20">
        <v>6122764404</v>
      </c>
      <c r="H388" s="20">
        <f>H387+Table1[[#This Row],[مبلغ ورود]]-Table1[[#This Row],[مبلغ خروج]]</f>
        <v>55370601065</v>
      </c>
      <c r="I388" s="216"/>
    </row>
    <row r="389" spans="1:9" ht="37.5">
      <c r="A389" s="1">
        <v>386</v>
      </c>
      <c r="B389" s="186" t="s">
        <v>1354</v>
      </c>
      <c r="C389" s="1">
        <v>313852</v>
      </c>
      <c r="D389" s="19" t="s">
        <v>938</v>
      </c>
      <c r="E389" s="74" t="s">
        <v>1357</v>
      </c>
      <c r="G389" s="20">
        <v>6595053920</v>
      </c>
      <c r="H389" s="20">
        <f>H388+Table1[[#This Row],[مبلغ ورود]]-Table1[[#This Row],[مبلغ خروج]]</f>
        <v>48775547145</v>
      </c>
      <c r="I389" s="216"/>
    </row>
    <row r="390" spans="1:9" ht="37.5">
      <c r="A390" s="1">
        <v>387</v>
      </c>
      <c r="B390" s="186" t="s">
        <v>1354</v>
      </c>
      <c r="C390" s="1">
        <v>313853</v>
      </c>
      <c r="D390" s="19" t="s">
        <v>938</v>
      </c>
      <c r="E390" s="74" t="s">
        <v>1358</v>
      </c>
      <c r="G390" s="20">
        <v>1004980000</v>
      </c>
      <c r="H390" s="20">
        <f>H389+Table1[[#This Row],[مبلغ ورود]]-Table1[[#This Row],[مبلغ خروج]]</f>
        <v>47770567145</v>
      </c>
      <c r="I390" s="216"/>
    </row>
    <row r="391" spans="1:9" ht="37.5">
      <c r="A391" s="1">
        <v>388</v>
      </c>
      <c r="B391" s="186" t="s">
        <v>1354</v>
      </c>
      <c r="C391" s="1">
        <v>313854</v>
      </c>
      <c r="D391" s="19" t="s">
        <v>938</v>
      </c>
      <c r="E391" s="74" t="s">
        <v>1359</v>
      </c>
      <c r="G391" s="20">
        <v>417840000</v>
      </c>
      <c r="H391" s="20">
        <f>H390+Table1[[#This Row],[مبلغ ورود]]-Table1[[#This Row],[مبلغ خروج]]</f>
        <v>47352727145</v>
      </c>
      <c r="I391" s="216"/>
    </row>
    <row r="392" spans="1:9" ht="37.5">
      <c r="A392" s="1">
        <v>389</v>
      </c>
      <c r="B392" s="186" t="s">
        <v>1354</v>
      </c>
      <c r="C392" s="1">
        <v>313855</v>
      </c>
      <c r="D392" s="19" t="s">
        <v>938</v>
      </c>
      <c r="E392" s="74" t="s">
        <v>1360</v>
      </c>
      <c r="G392" s="20">
        <v>10000000000</v>
      </c>
      <c r="H392" s="20">
        <f>H391+Table1[[#This Row],[مبلغ ورود]]-Table1[[#This Row],[مبلغ خروج]]</f>
        <v>37352727145</v>
      </c>
      <c r="I392" s="216"/>
    </row>
    <row r="393" spans="1:9" ht="56.25">
      <c r="A393" s="1">
        <v>390</v>
      </c>
      <c r="B393" s="186" t="s">
        <v>1354</v>
      </c>
      <c r="C393" s="1">
        <v>313856</v>
      </c>
      <c r="D393" s="19" t="s">
        <v>938</v>
      </c>
      <c r="E393" s="74" t="s">
        <v>1361</v>
      </c>
      <c r="G393" s="20">
        <v>126989000</v>
      </c>
      <c r="H393" s="20">
        <f>H392+Table1[[#This Row],[مبلغ ورود]]-Table1[[#This Row],[مبلغ خروج]]</f>
        <v>37225738145</v>
      </c>
      <c r="I393" s="216"/>
    </row>
    <row r="394" spans="1:9" ht="37.5">
      <c r="A394" s="1">
        <v>391</v>
      </c>
      <c r="B394" s="186" t="s">
        <v>1354</v>
      </c>
      <c r="C394" s="1">
        <v>313857</v>
      </c>
      <c r="D394" s="19" t="s">
        <v>938</v>
      </c>
      <c r="E394" s="74" t="s">
        <v>1362</v>
      </c>
      <c r="G394" s="20">
        <v>92650000</v>
      </c>
      <c r="H394" s="20">
        <f>H393+Table1[[#This Row],[مبلغ ورود]]-Table1[[#This Row],[مبلغ خروج]]</f>
        <v>37133088145</v>
      </c>
      <c r="I394" s="216"/>
    </row>
    <row r="395" spans="1:9" ht="56.25">
      <c r="A395" s="1">
        <v>392</v>
      </c>
      <c r="B395" s="186" t="s">
        <v>1354</v>
      </c>
      <c r="C395" s="1">
        <v>313858</v>
      </c>
      <c r="D395" s="19" t="s">
        <v>938</v>
      </c>
      <c r="E395" s="74" t="s">
        <v>1363</v>
      </c>
      <c r="G395" s="20">
        <v>236880000</v>
      </c>
      <c r="H395" s="20">
        <f>H394+Table1[[#This Row],[مبلغ ورود]]-Table1[[#This Row],[مبلغ خروج]]</f>
        <v>36896208145</v>
      </c>
      <c r="I395" s="216"/>
    </row>
    <row r="396" spans="1:9" ht="56.25">
      <c r="A396" s="1">
        <v>393</v>
      </c>
      <c r="B396" s="186" t="s">
        <v>1354</v>
      </c>
      <c r="C396" s="1">
        <v>313859</v>
      </c>
      <c r="D396" s="19" t="s">
        <v>938</v>
      </c>
      <c r="E396" s="74" t="s">
        <v>1364</v>
      </c>
      <c r="G396" s="20">
        <v>466691080</v>
      </c>
      <c r="H396" s="20">
        <f>H395+Table1[[#This Row],[مبلغ ورود]]-Table1[[#This Row],[مبلغ خروج]]</f>
        <v>36429517065</v>
      </c>
      <c r="I396" s="216"/>
    </row>
    <row r="397" spans="1:9" ht="56.25">
      <c r="A397" s="1">
        <v>394</v>
      </c>
      <c r="B397" s="186" t="s">
        <v>1365</v>
      </c>
      <c r="C397" s="1">
        <v>313860</v>
      </c>
      <c r="D397" s="19" t="s">
        <v>938</v>
      </c>
      <c r="E397" s="74" t="s">
        <v>1366</v>
      </c>
      <c r="G397" s="20">
        <v>2410776000</v>
      </c>
      <c r="H397" s="20">
        <f>H396+Table1[[#This Row],[مبلغ ورود]]-Table1[[#This Row],[مبلغ خروج]]</f>
        <v>34018741065</v>
      </c>
      <c r="I397" s="216"/>
    </row>
    <row r="398" spans="1:9" ht="56.25">
      <c r="A398" s="1">
        <v>395</v>
      </c>
      <c r="B398" s="186" t="s">
        <v>1365</v>
      </c>
      <c r="C398" s="1">
        <v>313861</v>
      </c>
      <c r="D398" s="19" t="s">
        <v>938</v>
      </c>
      <c r="E398" s="74" t="s">
        <v>1367</v>
      </c>
      <c r="G398" s="20">
        <v>58100017</v>
      </c>
      <c r="H398" s="20">
        <f>H397+Table1[[#This Row],[مبلغ ورود]]-Table1[[#This Row],[مبلغ خروج]]</f>
        <v>33960641048</v>
      </c>
      <c r="I398" s="216"/>
    </row>
    <row r="399" spans="1:9" ht="37.5">
      <c r="A399" s="1">
        <v>396</v>
      </c>
      <c r="B399" s="186" t="s">
        <v>1365</v>
      </c>
      <c r="C399" s="1">
        <v>313862</v>
      </c>
      <c r="D399" s="19" t="s">
        <v>938</v>
      </c>
      <c r="E399" s="74" t="s">
        <v>1368</v>
      </c>
      <c r="G399" s="20">
        <v>643700000</v>
      </c>
      <c r="H399" s="20">
        <f>H398+Table1[[#This Row],[مبلغ ورود]]-Table1[[#This Row],[مبلغ خروج]]</f>
        <v>33316941048</v>
      </c>
      <c r="I399" s="216"/>
    </row>
    <row r="400" spans="1:9" ht="37.5">
      <c r="A400" s="1">
        <v>397</v>
      </c>
      <c r="B400" s="186" t="s">
        <v>1369</v>
      </c>
      <c r="C400" s="1">
        <v>313863</v>
      </c>
      <c r="D400" s="19" t="s">
        <v>938</v>
      </c>
      <c r="E400" s="74" t="s">
        <v>1370</v>
      </c>
      <c r="G400" s="20">
        <v>12710214000</v>
      </c>
      <c r="H400" s="20">
        <f>H399+Table1[[#This Row],[مبلغ ورود]]-Table1[[#This Row],[مبلغ خروج]]</f>
        <v>20606727048</v>
      </c>
      <c r="I400" s="216"/>
    </row>
    <row r="401" spans="1:9" ht="37.5">
      <c r="A401" s="1">
        <v>398</v>
      </c>
      <c r="B401" s="186" t="s">
        <v>1369</v>
      </c>
      <c r="C401" s="1">
        <v>313864</v>
      </c>
      <c r="D401" s="19" t="s">
        <v>938</v>
      </c>
      <c r="E401" s="74" t="s">
        <v>793</v>
      </c>
      <c r="G401" s="20">
        <v>2000000000</v>
      </c>
      <c r="H401" s="20">
        <f>H400+Table1[[#This Row],[مبلغ ورود]]-Table1[[#This Row],[مبلغ خروج]]</f>
        <v>18606727048</v>
      </c>
      <c r="I401" s="216"/>
    </row>
    <row r="402" spans="1:9" ht="56.25">
      <c r="A402" s="1">
        <v>399</v>
      </c>
      <c r="B402" s="186" t="s">
        <v>1369</v>
      </c>
      <c r="C402" s="1">
        <v>313865</v>
      </c>
      <c r="D402" s="19" t="s">
        <v>938</v>
      </c>
      <c r="E402" s="74" t="s">
        <v>1372</v>
      </c>
      <c r="G402" s="20">
        <f>7037711+55528087</f>
        <v>62565798</v>
      </c>
      <c r="H402" s="20">
        <f>H401+Table1[[#This Row],[مبلغ ورود]]-Table1[[#This Row],[مبلغ خروج]]</f>
        <v>18544161250</v>
      </c>
      <c r="I402" s="216"/>
    </row>
    <row r="403" spans="1:9" ht="75">
      <c r="A403" s="1">
        <v>400</v>
      </c>
      <c r="B403" s="186" t="s">
        <v>1369</v>
      </c>
      <c r="C403" s="1">
        <v>313866</v>
      </c>
      <c r="D403" s="19" t="s">
        <v>938</v>
      </c>
      <c r="E403" s="74" t="s">
        <v>1371</v>
      </c>
      <c r="G403" s="20">
        <f>6456489+8275299</f>
        <v>14731788</v>
      </c>
      <c r="H403" s="20">
        <f>H402+Table1[[#This Row],[مبلغ ورود]]-Table1[[#This Row],[مبلغ خروج]]</f>
        <v>18529429462</v>
      </c>
      <c r="I403" s="216"/>
    </row>
    <row r="404" spans="1:9" ht="56.25">
      <c r="A404" s="1">
        <v>401</v>
      </c>
      <c r="B404" s="186" t="s">
        <v>1369</v>
      </c>
      <c r="C404" s="1">
        <v>313867</v>
      </c>
      <c r="D404" s="19" t="s">
        <v>938</v>
      </c>
      <c r="E404" s="74" t="s">
        <v>1373</v>
      </c>
      <c r="G404" s="20">
        <v>99526500</v>
      </c>
      <c r="H404" s="20">
        <f>H403+Table1[[#This Row],[مبلغ ورود]]-Table1[[#This Row],[مبلغ خروج]]</f>
        <v>18429902962</v>
      </c>
      <c r="I404" s="216"/>
    </row>
    <row r="405" spans="1:9" ht="37.5">
      <c r="A405" s="1">
        <v>402</v>
      </c>
      <c r="B405" s="186" t="s">
        <v>1374</v>
      </c>
      <c r="C405" s="1">
        <v>313868</v>
      </c>
      <c r="D405" s="19" t="s">
        <v>938</v>
      </c>
      <c r="E405" s="74" t="s">
        <v>1375</v>
      </c>
      <c r="G405" s="20">
        <v>77063000</v>
      </c>
      <c r="H405" s="20">
        <f>H404+Table1[[#This Row],[مبلغ ورود]]-Table1[[#This Row],[مبلغ خروج]]</f>
        <v>18352839962</v>
      </c>
      <c r="I405" s="216"/>
    </row>
    <row r="406" spans="1:9" ht="37.5">
      <c r="A406" s="1">
        <v>403</v>
      </c>
      <c r="B406" s="186" t="s">
        <v>1374</v>
      </c>
      <c r="C406" s="1">
        <v>313872</v>
      </c>
      <c r="D406" s="19" t="s">
        <v>938</v>
      </c>
      <c r="E406" s="74" t="s">
        <v>1376</v>
      </c>
      <c r="G406" s="20">
        <v>7093800</v>
      </c>
      <c r="H406" s="20">
        <f>H405+Table1[[#This Row],[مبلغ ورود]]-Table1[[#This Row],[مبلغ خروج]]</f>
        <v>18345746162</v>
      </c>
      <c r="I406" s="216"/>
    </row>
    <row r="407" spans="1:9" ht="37.5">
      <c r="A407" s="1">
        <v>404</v>
      </c>
      <c r="B407" s="186" t="s">
        <v>1374</v>
      </c>
      <c r="C407" s="1">
        <v>313870</v>
      </c>
      <c r="D407" s="19" t="s">
        <v>938</v>
      </c>
      <c r="E407" s="74" t="s">
        <v>1377</v>
      </c>
      <c r="G407" s="20">
        <v>16995704</v>
      </c>
      <c r="H407" s="20">
        <f>H406+Table1[[#This Row],[مبلغ ورود]]-Table1[[#This Row],[مبلغ خروج]]</f>
        <v>18328750458</v>
      </c>
      <c r="I407" s="216"/>
    </row>
    <row r="408" spans="1:9" ht="21">
      <c r="A408" s="1">
        <v>405</v>
      </c>
      <c r="B408" s="186" t="s">
        <v>1378</v>
      </c>
      <c r="C408" s="1"/>
      <c r="E408" s="74" t="s">
        <v>1379</v>
      </c>
      <c r="F408" s="73">
        <v>135071944</v>
      </c>
      <c r="H408" s="20">
        <f>H407+Table1[[#This Row],[مبلغ ورود]]-Table1[[#This Row],[مبلغ خروج]]</f>
        <v>18463822402</v>
      </c>
      <c r="I408" s="216"/>
    </row>
    <row r="409" spans="1:9" ht="37.5">
      <c r="A409" s="1">
        <v>406</v>
      </c>
      <c r="B409" s="186" t="s">
        <v>1380</v>
      </c>
      <c r="C409" s="1">
        <v>313871</v>
      </c>
      <c r="D409" s="19" t="s">
        <v>938</v>
      </c>
      <c r="E409" s="74" t="s">
        <v>793</v>
      </c>
      <c r="G409" s="20">
        <v>3000000000</v>
      </c>
      <c r="H409" s="20">
        <f>H408+Table1[[#This Row],[مبلغ ورود]]-Table1[[#This Row],[مبلغ خروج]]</f>
        <v>15463822402</v>
      </c>
      <c r="I409" s="216"/>
    </row>
    <row r="410" spans="1:9" ht="21">
      <c r="A410" s="1">
        <v>407</v>
      </c>
      <c r="B410" s="186"/>
      <c r="C410" s="1">
        <v>313869</v>
      </c>
      <c r="E410" s="74" t="s">
        <v>626</v>
      </c>
      <c r="H410" s="20">
        <f>H409+Table1[[#This Row],[مبلغ ورود]]-Table1[[#This Row],[مبلغ خروج]]</f>
        <v>15463822402</v>
      </c>
      <c r="I410" s="216"/>
    </row>
    <row r="411" spans="1:9" ht="37.5">
      <c r="A411" s="1">
        <v>408</v>
      </c>
      <c r="B411" s="186" t="s">
        <v>1380</v>
      </c>
      <c r="C411" s="1">
        <v>313873</v>
      </c>
      <c r="D411" s="19" t="s">
        <v>938</v>
      </c>
      <c r="E411" s="74" t="s">
        <v>793</v>
      </c>
      <c r="G411" s="20">
        <v>2000000000</v>
      </c>
      <c r="H411" s="20">
        <f>H410+Table1[[#This Row],[مبلغ ورود]]-Table1[[#This Row],[مبلغ خروج]]</f>
        <v>13463822402</v>
      </c>
      <c r="I411" s="216"/>
    </row>
    <row r="412" spans="1:9" ht="37.5">
      <c r="A412" s="1">
        <v>409</v>
      </c>
      <c r="B412" s="186" t="s">
        <v>1380</v>
      </c>
      <c r="C412" s="1">
        <v>313874</v>
      </c>
      <c r="D412" s="19" t="s">
        <v>938</v>
      </c>
      <c r="E412" s="74" t="s">
        <v>1381</v>
      </c>
      <c r="G412" s="20">
        <v>3035665000</v>
      </c>
      <c r="H412" s="20">
        <f>H411+Table1[[#This Row],[مبلغ ورود]]-Table1[[#This Row],[مبلغ خروج]]</f>
        <v>10428157402</v>
      </c>
      <c r="I412" s="216"/>
    </row>
    <row r="413" spans="1:9" ht="37.5">
      <c r="A413" s="1">
        <v>410</v>
      </c>
      <c r="B413" s="186" t="s">
        <v>1382</v>
      </c>
      <c r="C413" s="1">
        <v>313875</v>
      </c>
      <c r="D413" s="19" t="s">
        <v>938</v>
      </c>
      <c r="E413" s="74" t="s">
        <v>793</v>
      </c>
      <c r="G413" s="20">
        <v>10000000000</v>
      </c>
      <c r="H413" s="20">
        <f>H412+Table1[[#This Row],[مبلغ ورود]]-Table1[[#This Row],[مبلغ خروج]]</f>
        <v>428157402</v>
      </c>
      <c r="I413" s="216"/>
    </row>
    <row r="414" spans="1:9" ht="75">
      <c r="A414" s="1">
        <v>411</v>
      </c>
      <c r="B414" s="186" t="s">
        <v>1382</v>
      </c>
      <c r="C414" s="1">
        <v>313876</v>
      </c>
      <c r="D414" s="19" t="s">
        <v>938</v>
      </c>
      <c r="E414" s="74" t="s">
        <v>1383</v>
      </c>
      <c r="G414" s="20">
        <v>30000000000</v>
      </c>
      <c r="H414" s="20">
        <f>H413+Table1[[#This Row],[مبلغ ورود]]-Table1[[#This Row],[مبلغ خروج]]</f>
        <v>-29571842598</v>
      </c>
      <c r="I414" s="216"/>
    </row>
    <row r="415" spans="1:9" ht="37.5">
      <c r="A415" s="1">
        <v>412</v>
      </c>
      <c r="B415" s="186" t="s">
        <v>1382</v>
      </c>
      <c r="C415" s="1">
        <v>313877</v>
      </c>
      <c r="D415" s="19" t="s">
        <v>938</v>
      </c>
      <c r="E415" s="74" t="s">
        <v>1384</v>
      </c>
      <c r="G415" s="20">
        <v>10116975000</v>
      </c>
      <c r="H415" s="20">
        <f>H414+Table1[[#This Row],[مبلغ ورود]]-Table1[[#This Row],[مبلغ خروج]]</f>
        <v>-39688817598</v>
      </c>
      <c r="I415" s="216"/>
    </row>
    <row r="416" spans="1:9" ht="37.5">
      <c r="A416" s="1">
        <v>413</v>
      </c>
      <c r="B416" s="186" t="s">
        <v>1382</v>
      </c>
      <c r="C416" s="1">
        <v>313878</v>
      </c>
      <c r="D416" s="19" t="s">
        <v>938</v>
      </c>
      <c r="E416" s="74" t="s">
        <v>1385</v>
      </c>
      <c r="G416" s="20">
        <v>114160000</v>
      </c>
      <c r="H416" s="20">
        <f>H415+Table1[[#This Row],[مبلغ ورود]]-Table1[[#This Row],[مبلغ خروج]]</f>
        <v>-39802977598</v>
      </c>
      <c r="I416" s="216"/>
    </row>
    <row r="417" spans="1:9" ht="21">
      <c r="A417" s="1">
        <v>414</v>
      </c>
      <c r="B417" s="186" t="s">
        <v>1386</v>
      </c>
      <c r="C417" s="1"/>
      <c r="D417" s="19" t="s">
        <v>938</v>
      </c>
      <c r="E417" s="74" t="s">
        <v>1234</v>
      </c>
      <c r="F417" s="73">
        <v>60000000000</v>
      </c>
      <c r="H417" s="20">
        <f>H416+Table1[[#This Row],[مبلغ ورود]]-Table1[[#This Row],[مبلغ خروج]]</f>
        <v>20197022402</v>
      </c>
      <c r="I417" s="216"/>
    </row>
    <row r="418" spans="1:9" ht="21">
      <c r="A418" s="1">
        <v>415</v>
      </c>
      <c r="B418" s="186" t="s">
        <v>1380</v>
      </c>
      <c r="C418" s="1"/>
      <c r="D418" s="19" t="s">
        <v>938</v>
      </c>
      <c r="E418" s="74" t="s">
        <v>1089</v>
      </c>
      <c r="F418" s="73">
        <v>20000000000</v>
      </c>
      <c r="H418" s="20">
        <f>H417+Table1[[#This Row],[مبلغ ورود]]-Table1[[#This Row],[مبلغ خروج]]</f>
        <v>40197022402</v>
      </c>
      <c r="I418" s="216"/>
    </row>
    <row r="419" spans="1:9" ht="56.25">
      <c r="A419" s="1">
        <v>416</v>
      </c>
      <c r="B419" s="186" t="s">
        <v>1387</v>
      </c>
      <c r="C419" s="1">
        <v>313879</v>
      </c>
      <c r="D419" s="19" t="s">
        <v>938</v>
      </c>
      <c r="E419" s="74" t="s">
        <v>1388</v>
      </c>
      <c r="G419" s="20">
        <v>119457589</v>
      </c>
      <c r="H419" s="20">
        <f>H418+Table1[[#This Row],[مبلغ ورود]]-Table1[[#This Row],[مبلغ خروج]]</f>
        <v>40077564813</v>
      </c>
      <c r="I419" s="216"/>
    </row>
    <row r="420" spans="1:9" ht="37.5">
      <c r="A420" s="1">
        <v>417</v>
      </c>
      <c r="B420" s="186" t="s">
        <v>1387</v>
      </c>
      <c r="C420" s="1">
        <v>313885</v>
      </c>
      <c r="D420" s="19" t="s">
        <v>938</v>
      </c>
      <c r="E420" s="74" t="s">
        <v>1389</v>
      </c>
      <c r="G420" s="20">
        <v>550578253</v>
      </c>
      <c r="H420" s="20">
        <f>H419+Table1[[#This Row],[مبلغ ورود]]-Table1[[#This Row],[مبلغ خروج]]</f>
        <v>39526986560</v>
      </c>
      <c r="I420" s="216"/>
    </row>
    <row r="421" spans="1:9" ht="37.5">
      <c r="A421" s="1">
        <v>418</v>
      </c>
      <c r="B421" s="186" t="s">
        <v>1387</v>
      </c>
      <c r="C421" s="1">
        <v>313881</v>
      </c>
      <c r="D421" s="19" t="s">
        <v>938</v>
      </c>
      <c r="E421" s="74" t="s">
        <v>1390</v>
      </c>
      <c r="G421" s="20">
        <v>464091089</v>
      </c>
      <c r="H421" s="20">
        <f>H420+Table1[[#This Row],[مبلغ ورود]]-Table1[[#This Row],[مبلغ خروج]]</f>
        <v>39062895471</v>
      </c>
      <c r="I421" s="216"/>
    </row>
    <row r="422" spans="1:9" ht="37.5">
      <c r="A422" s="1">
        <v>419</v>
      </c>
      <c r="B422" s="186" t="s">
        <v>1387</v>
      </c>
      <c r="C422" s="1">
        <v>313882</v>
      </c>
      <c r="D422" s="19" t="s">
        <v>938</v>
      </c>
      <c r="E422" s="151" t="s">
        <v>1391</v>
      </c>
      <c r="G422" s="20">
        <v>2500000000</v>
      </c>
      <c r="H422" s="20">
        <f>H421+Table1[[#This Row],[مبلغ ورود]]-Table1[[#This Row],[مبلغ خروج]]</f>
        <v>36562895471</v>
      </c>
      <c r="I422" s="216"/>
    </row>
    <row r="423" spans="1:9" ht="21">
      <c r="A423" s="1">
        <v>420</v>
      </c>
      <c r="B423" s="186" t="s">
        <v>1387</v>
      </c>
      <c r="C423" s="1">
        <v>313883</v>
      </c>
      <c r="D423" s="19" t="s">
        <v>938</v>
      </c>
      <c r="E423" s="74" t="s">
        <v>710</v>
      </c>
      <c r="G423" s="20">
        <v>5000000000</v>
      </c>
      <c r="H423" s="20">
        <f>H422+Table1[[#This Row],[مبلغ ورود]]-Table1[[#This Row],[مبلغ خروج]]</f>
        <v>31562895471</v>
      </c>
      <c r="I423" s="216"/>
    </row>
    <row r="424" spans="1:9" ht="56.25">
      <c r="A424" s="1">
        <v>421</v>
      </c>
      <c r="B424" s="186" t="s">
        <v>1392</v>
      </c>
      <c r="C424" s="1">
        <v>313884</v>
      </c>
      <c r="D424" s="19" t="s">
        <v>938</v>
      </c>
      <c r="E424" s="74" t="s">
        <v>1393</v>
      </c>
      <c r="G424" s="20">
        <v>2859375000</v>
      </c>
      <c r="H424" s="20">
        <f>H423+Table1[[#This Row],[مبلغ ورود]]-Table1[[#This Row],[مبلغ خروج]]</f>
        <v>28703520471</v>
      </c>
      <c r="I424" s="216"/>
    </row>
    <row r="425" spans="1:9" ht="21">
      <c r="A425" s="1">
        <v>422</v>
      </c>
      <c r="B425" s="186" t="s">
        <v>1382</v>
      </c>
      <c r="C425" s="1"/>
      <c r="E425" s="74" t="s">
        <v>1394</v>
      </c>
      <c r="F425" s="20">
        <v>142413796</v>
      </c>
      <c r="H425" s="20">
        <f>H424+Table1[[#This Row],[مبلغ ورود]]-Table1[[#This Row],[مبلغ خروج]]</f>
        <v>28845934267</v>
      </c>
      <c r="I425" s="216"/>
    </row>
    <row r="426" spans="1:9" ht="37.5">
      <c r="A426" s="1">
        <v>423</v>
      </c>
      <c r="B426" s="186" t="s">
        <v>1392</v>
      </c>
      <c r="C426" s="1">
        <v>313886</v>
      </c>
      <c r="D426" s="19" t="s">
        <v>938</v>
      </c>
      <c r="E426" s="74" t="s">
        <v>1395</v>
      </c>
      <c r="G426" s="20">
        <v>216106990</v>
      </c>
      <c r="H426" s="20">
        <f>H425+Table1[[#This Row],[مبلغ ورود]]-Table1[[#This Row],[مبلغ خروج]]</f>
        <v>28629827277</v>
      </c>
      <c r="I426" s="216"/>
    </row>
    <row r="427" spans="1:9" ht="37.5">
      <c r="A427" s="1">
        <v>424</v>
      </c>
      <c r="B427" s="186" t="s">
        <v>1392</v>
      </c>
      <c r="C427" s="1">
        <v>313887</v>
      </c>
      <c r="D427" s="19" t="s">
        <v>938</v>
      </c>
      <c r="E427" s="74" t="s">
        <v>1396</v>
      </c>
      <c r="G427" s="20">
        <v>120000000</v>
      </c>
      <c r="H427" s="20">
        <f>H426+Table1[[#This Row],[مبلغ ورود]]-Table1[[#This Row],[مبلغ خروج]]</f>
        <v>28509827277</v>
      </c>
      <c r="I427" s="216"/>
    </row>
    <row r="428" spans="1:9" ht="21">
      <c r="A428" s="1">
        <v>425</v>
      </c>
      <c r="B428" s="186"/>
      <c r="C428" s="1">
        <v>313880</v>
      </c>
      <c r="E428" s="74" t="s">
        <v>626</v>
      </c>
      <c r="H428" s="20">
        <f>H427+Table1[[#This Row],[مبلغ ورود]]-Table1[[#This Row],[مبلغ خروج]]</f>
        <v>28509827277</v>
      </c>
      <c r="I428" s="216"/>
    </row>
    <row r="429" spans="1:9" ht="56.25">
      <c r="A429" s="1">
        <v>426</v>
      </c>
      <c r="B429" s="186" t="s">
        <v>1392</v>
      </c>
      <c r="C429" s="1">
        <v>313888</v>
      </c>
      <c r="D429" s="19" t="s">
        <v>938</v>
      </c>
      <c r="E429" s="74" t="s">
        <v>1397</v>
      </c>
      <c r="G429" s="20">
        <v>11580882</v>
      </c>
      <c r="H429" s="20">
        <f>H428+Table1[[#This Row],[مبلغ ورود]]-Table1[[#This Row],[مبلغ خروج]]</f>
        <v>28498246395</v>
      </c>
      <c r="I429" s="216"/>
    </row>
    <row r="430" spans="1:9" ht="21">
      <c r="A430" s="1">
        <v>427</v>
      </c>
      <c r="B430" s="186" t="s">
        <v>1398</v>
      </c>
      <c r="C430" s="1"/>
      <c r="E430" s="74" t="s">
        <v>1182</v>
      </c>
      <c r="F430" s="73">
        <v>70000000000</v>
      </c>
      <c r="H430" s="20">
        <f>H429+Table1[[#This Row],[مبلغ ورود]]-Table1[[#This Row],[مبلغ خروج]]</f>
        <v>98498246395</v>
      </c>
      <c r="I430" s="216"/>
    </row>
    <row r="431" spans="1:9" ht="37.5">
      <c r="A431" s="1">
        <v>428</v>
      </c>
      <c r="B431" s="186" t="s">
        <v>1398</v>
      </c>
      <c r="C431" s="1">
        <v>313889</v>
      </c>
      <c r="D431" s="19" t="s">
        <v>938</v>
      </c>
      <c r="E431" s="74" t="s">
        <v>1400</v>
      </c>
      <c r="G431" s="20">
        <v>1136240000</v>
      </c>
      <c r="H431" s="20">
        <f>H430+Table1[[#This Row],[مبلغ ورود]]-Table1[[#This Row],[مبلغ خروج]]</f>
        <v>97362006395</v>
      </c>
      <c r="I431" s="216"/>
    </row>
    <row r="432" spans="1:9" ht="56.25">
      <c r="A432" s="1">
        <v>429</v>
      </c>
      <c r="B432" s="186" t="s">
        <v>1398</v>
      </c>
      <c r="C432" s="1">
        <v>313890</v>
      </c>
      <c r="D432" s="19" t="s">
        <v>938</v>
      </c>
      <c r="E432" s="74" t="s">
        <v>1399</v>
      </c>
      <c r="G432" s="20">
        <v>1339221400</v>
      </c>
      <c r="H432" s="20">
        <f>H431+Table1[[#This Row],[مبلغ ورود]]-Table1[[#This Row],[مبلغ خروج]]</f>
        <v>96022784995</v>
      </c>
      <c r="I432" s="216"/>
    </row>
    <row r="433" spans="1:9" ht="21">
      <c r="A433" s="1">
        <v>430</v>
      </c>
      <c r="B433" s="186" t="s">
        <v>1398</v>
      </c>
      <c r="C433" s="1">
        <v>313891</v>
      </c>
      <c r="D433" s="19" t="s">
        <v>938</v>
      </c>
      <c r="E433" s="74" t="s">
        <v>710</v>
      </c>
      <c r="G433" s="20">
        <v>20000000000</v>
      </c>
      <c r="H433" s="20">
        <f>H432+Table1[[#This Row],[مبلغ ورود]]-Table1[[#This Row],[مبلغ خروج]]</f>
        <v>76022784995</v>
      </c>
      <c r="I433" s="216"/>
    </row>
    <row r="434" spans="1:9" ht="56.25">
      <c r="A434" s="1">
        <v>431</v>
      </c>
      <c r="B434" s="186" t="s">
        <v>1401</v>
      </c>
      <c r="C434" s="1">
        <v>313892</v>
      </c>
      <c r="D434" s="19" t="s">
        <v>938</v>
      </c>
      <c r="E434" s="74" t="s">
        <v>1402</v>
      </c>
      <c r="G434" s="20">
        <v>91425600</v>
      </c>
      <c r="H434" s="20">
        <f>H433+Table1[[#This Row],[مبلغ ورود]]-Table1[[#This Row],[مبلغ خروج]]</f>
        <v>75931359395</v>
      </c>
      <c r="I434" s="216"/>
    </row>
    <row r="435" spans="1:9" ht="56.25">
      <c r="A435" s="1">
        <v>432</v>
      </c>
      <c r="B435" s="186" t="s">
        <v>1401</v>
      </c>
      <c r="C435" s="1">
        <v>313893</v>
      </c>
      <c r="D435" s="19" t="s">
        <v>938</v>
      </c>
      <c r="E435" s="74" t="s">
        <v>1403</v>
      </c>
      <c r="G435" s="20">
        <v>97883500</v>
      </c>
      <c r="H435" s="20">
        <f>H434+Table1[[#This Row],[مبلغ ورود]]-Table1[[#This Row],[مبلغ خروج]]</f>
        <v>75833475895</v>
      </c>
      <c r="I435" s="216"/>
    </row>
    <row r="436" spans="1:9" ht="56.25">
      <c r="A436" s="1">
        <v>433</v>
      </c>
      <c r="B436" s="186" t="s">
        <v>1401</v>
      </c>
      <c r="C436" s="1">
        <v>313894</v>
      </c>
      <c r="D436" s="19" t="s">
        <v>938</v>
      </c>
      <c r="E436" s="74" t="s">
        <v>1404</v>
      </c>
      <c r="G436" s="20">
        <v>131976000</v>
      </c>
      <c r="H436" s="20">
        <f>H435+Table1[[#This Row],[مبلغ ورود]]-Table1[[#This Row],[مبلغ خروج]]</f>
        <v>75701499895</v>
      </c>
      <c r="I436" s="216"/>
    </row>
    <row r="437" spans="1:9" ht="37.5">
      <c r="A437" s="1">
        <v>434</v>
      </c>
      <c r="B437" s="186" t="s">
        <v>1401</v>
      </c>
      <c r="C437" s="1">
        <v>313895</v>
      </c>
      <c r="D437" s="19" t="s">
        <v>938</v>
      </c>
      <c r="E437" s="74" t="s">
        <v>1405</v>
      </c>
      <c r="G437" s="20">
        <v>645075000</v>
      </c>
      <c r="H437" s="20">
        <f>H436+Table1[[#This Row],[مبلغ ورود]]-Table1[[#This Row],[مبلغ خروج]]</f>
        <v>75056424895</v>
      </c>
      <c r="I437" s="216"/>
    </row>
    <row r="438" spans="1:9" ht="56.25">
      <c r="A438" s="1">
        <v>435</v>
      </c>
      <c r="B438" s="186" t="s">
        <v>1401</v>
      </c>
      <c r="C438" s="1">
        <v>313896</v>
      </c>
      <c r="D438" s="19" t="s">
        <v>938</v>
      </c>
      <c r="E438" s="74" t="s">
        <v>1406</v>
      </c>
      <c r="G438" s="20">
        <v>82705000</v>
      </c>
      <c r="H438" s="20">
        <f>H437+Table1[[#This Row],[مبلغ ورود]]-Table1[[#This Row],[مبلغ خروج]]</f>
        <v>74973719895</v>
      </c>
      <c r="I438" s="216"/>
    </row>
    <row r="439" spans="1:9" ht="56.25">
      <c r="A439" s="1">
        <v>436</v>
      </c>
      <c r="B439" s="186" t="s">
        <v>1407</v>
      </c>
      <c r="C439" s="1">
        <v>313897</v>
      </c>
      <c r="D439" s="19" t="s">
        <v>938</v>
      </c>
      <c r="E439" s="74" t="s">
        <v>1408</v>
      </c>
      <c r="G439" s="20">
        <v>629045000</v>
      </c>
      <c r="H439" s="20">
        <f>H438+Table1[[#This Row],[مبلغ ورود]]-Table1[[#This Row],[مبلغ خروج]]</f>
        <v>74344674895</v>
      </c>
      <c r="I439" s="216"/>
    </row>
    <row r="440" spans="1:9" ht="37.5">
      <c r="A440" s="1">
        <v>437</v>
      </c>
      <c r="B440" s="186" t="s">
        <v>1407</v>
      </c>
      <c r="C440" s="1">
        <v>313898</v>
      </c>
      <c r="D440" s="19" t="s">
        <v>938</v>
      </c>
      <c r="E440" s="74" t="s">
        <v>1409</v>
      </c>
      <c r="G440" s="20">
        <v>280784000</v>
      </c>
      <c r="H440" s="20">
        <f>H439+Table1[[#This Row],[مبلغ ورود]]-Table1[[#This Row],[مبلغ خروج]]</f>
        <v>74063890895</v>
      </c>
      <c r="I440" s="216"/>
    </row>
    <row r="441" spans="1:9" ht="37.5">
      <c r="A441" s="1">
        <v>438</v>
      </c>
      <c r="B441" s="186" t="s">
        <v>1410</v>
      </c>
      <c r="C441" s="1">
        <v>313899</v>
      </c>
      <c r="D441" s="19" t="s">
        <v>938</v>
      </c>
      <c r="E441" s="74" t="s">
        <v>1411</v>
      </c>
      <c r="G441" s="20">
        <v>1849080000</v>
      </c>
      <c r="H441" s="20">
        <f>H440+Table1[[#This Row],[مبلغ ورود]]-Table1[[#This Row],[مبلغ خروج]]</f>
        <v>72214810895</v>
      </c>
      <c r="I441" s="216"/>
    </row>
    <row r="442" spans="1:9" ht="37.5">
      <c r="A442" s="1">
        <v>439</v>
      </c>
      <c r="B442" s="186" t="s">
        <v>1410</v>
      </c>
      <c r="C442" s="1">
        <v>313900</v>
      </c>
      <c r="D442" s="19" t="s">
        <v>938</v>
      </c>
      <c r="E442" s="74" t="s">
        <v>1413</v>
      </c>
      <c r="G442" s="20">
        <v>14116000000</v>
      </c>
      <c r="H442" s="20">
        <f>H441+Table1[[#This Row],[مبلغ ورود]]-Table1[[#This Row],[مبلغ خروج]]</f>
        <v>58098810895</v>
      </c>
      <c r="I442" s="216"/>
    </row>
    <row r="443" spans="1:9" ht="21">
      <c r="A443" s="1">
        <v>440</v>
      </c>
      <c r="B443" s="186" t="s">
        <v>1410</v>
      </c>
      <c r="C443" s="1">
        <v>587451</v>
      </c>
      <c r="D443" s="19" t="s">
        <v>938</v>
      </c>
      <c r="E443" s="74" t="s">
        <v>710</v>
      </c>
      <c r="G443" s="20">
        <v>12000000000</v>
      </c>
      <c r="H443" s="20">
        <f>H442+Table1[[#This Row],[مبلغ ورود]]-Table1[[#This Row],[مبلغ خروج]]</f>
        <v>46098810895</v>
      </c>
      <c r="I443" s="216"/>
    </row>
    <row r="444" spans="1:9" ht="56.25">
      <c r="A444" s="1">
        <v>441</v>
      </c>
      <c r="B444" s="186" t="s">
        <v>1410</v>
      </c>
      <c r="C444" s="1">
        <v>587452</v>
      </c>
      <c r="D444" s="19" t="s">
        <v>938</v>
      </c>
      <c r="E444" s="74" t="s">
        <v>1412</v>
      </c>
      <c r="G444" s="20">
        <v>116248500</v>
      </c>
      <c r="H444" s="20">
        <f>H443+Table1[[#This Row],[مبلغ ورود]]-Table1[[#This Row],[مبلغ خروج]]</f>
        <v>45982562395</v>
      </c>
      <c r="I444" s="216"/>
    </row>
    <row r="445" spans="1:9" ht="56.25">
      <c r="A445" s="1">
        <v>442</v>
      </c>
      <c r="B445" s="186" t="s">
        <v>1414</v>
      </c>
      <c r="C445" s="1">
        <v>587453</v>
      </c>
      <c r="D445" s="19" t="s">
        <v>938</v>
      </c>
      <c r="E445" s="74" t="s">
        <v>1415</v>
      </c>
      <c r="G445" s="20">
        <v>314733849</v>
      </c>
      <c r="H445" s="20">
        <f>H444+Table1[[#This Row],[مبلغ ورود]]-Table1[[#This Row],[مبلغ خروج]]</f>
        <v>45667828546</v>
      </c>
      <c r="I445" s="216"/>
    </row>
    <row r="446" spans="1:9" ht="37.5">
      <c r="A446" s="1">
        <v>443</v>
      </c>
      <c r="B446" s="186" t="s">
        <v>1416</v>
      </c>
      <c r="C446" s="1">
        <v>587454</v>
      </c>
      <c r="D446" s="19" t="s">
        <v>938</v>
      </c>
      <c r="E446" s="74" t="s">
        <v>1417</v>
      </c>
      <c r="G446" s="20">
        <v>1069500000</v>
      </c>
      <c r="H446" s="20">
        <f>H445+Table1[[#This Row],[مبلغ ورود]]-Table1[[#This Row],[مبلغ خروج]]</f>
        <v>44598328546</v>
      </c>
      <c r="I446" s="216"/>
    </row>
    <row r="447" spans="1:9" ht="37.5">
      <c r="A447" s="1">
        <v>444</v>
      </c>
      <c r="B447" s="186" t="s">
        <v>1416</v>
      </c>
      <c r="C447" s="1">
        <v>587455</v>
      </c>
      <c r="D447" s="19" t="s">
        <v>938</v>
      </c>
      <c r="E447" s="74" t="s">
        <v>1418</v>
      </c>
      <c r="G447" s="20">
        <v>1199000000</v>
      </c>
      <c r="H447" s="20">
        <f>H446+Table1[[#This Row],[مبلغ ورود]]-Table1[[#This Row],[مبلغ خروج]]</f>
        <v>43399328546</v>
      </c>
      <c r="I447" s="216"/>
    </row>
    <row r="448" spans="1:9" ht="37.5">
      <c r="A448" s="1">
        <v>445</v>
      </c>
      <c r="B448" s="186" t="s">
        <v>1416</v>
      </c>
      <c r="C448" s="1"/>
      <c r="D448" s="74" t="s">
        <v>938</v>
      </c>
      <c r="E448" s="197" t="s">
        <v>1462</v>
      </c>
      <c r="F448" s="198">
        <v>1199000000</v>
      </c>
      <c r="H448" s="20">
        <f>H447+Table1[[#This Row],[مبلغ ورود]]-Table1[[#This Row],[مبلغ خروج]]</f>
        <v>44598328546</v>
      </c>
      <c r="I448" s="216"/>
    </row>
    <row r="449" spans="1:9" ht="37.5">
      <c r="A449" s="1">
        <v>446</v>
      </c>
      <c r="B449" s="186" t="s">
        <v>1416</v>
      </c>
      <c r="C449" s="1">
        <v>587456</v>
      </c>
      <c r="D449" s="19" t="s">
        <v>938</v>
      </c>
      <c r="E449" s="74" t="s">
        <v>793</v>
      </c>
      <c r="G449" s="20">
        <v>10000000000</v>
      </c>
      <c r="H449" s="20">
        <f>H448+Table1[[#This Row],[مبلغ ورود]]-Table1[[#This Row],[مبلغ خروج]]</f>
        <v>34598328546</v>
      </c>
      <c r="I449" s="216"/>
    </row>
    <row r="450" spans="1:9" ht="37.5">
      <c r="A450" s="1">
        <v>447</v>
      </c>
      <c r="B450" s="186" t="s">
        <v>1416</v>
      </c>
      <c r="C450" s="1">
        <v>587457</v>
      </c>
      <c r="D450" s="19" t="s">
        <v>938</v>
      </c>
      <c r="E450" s="74" t="s">
        <v>1419</v>
      </c>
      <c r="G450" s="20">
        <v>15050000</v>
      </c>
      <c r="H450" s="20">
        <f>H449+Table1[[#This Row],[مبلغ ورود]]-Table1[[#This Row],[مبلغ خروج]]</f>
        <v>34583278546</v>
      </c>
      <c r="I450" s="216"/>
    </row>
    <row r="451" spans="1:9" ht="37.5">
      <c r="A451" s="1">
        <v>448</v>
      </c>
      <c r="B451" s="186" t="s">
        <v>1416</v>
      </c>
      <c r="C451" s="1">
        <v>587458</v>
      </c>
      <c r="D451" s="19" t="s">
        <v>938</v>
      </c>
      <c r="E451" s="74" t="s">
        <v>1420</v>
      </c>
      <c r="G451" s="20">
        <v>2000000000</v>
      </c>
      <c r="H451" s="20">
        <f>H450+Table1[[#This Row],[مبلغ ورود]]-Table1[[#This Row],[مبلغ خروج]]</f>
        <v>32583278546</v>
      </c>
      <c r="I451" s="216"/>
    </row>
    <row r="452" spans="1:9" ht="21">
      <c r="A452" s="1">
        <v>449</v>
      </c>
      <c r="B452" s="186" t="s">
        <v>1421</v>
      </c>
      <c r="C452" s="1"/>
      <c r="D452" s="74" t="s">
        <v>938</v>
      </c>
      <c r="E452" s="74" t="s">
        <v>1224</v>
      </c>
      <c r="F452" s="73">
        <v>1341864977</v>
      </c>
      <c r="H452" s="20">
        <f>H451+Table1[[#This Row],[مبلغ ورود]]-Table1[[#This Row],[مبلغ خروج]]</f>
        <v>33925143523</v>
      </c>
      <c r="I452" s="216"/>
    </row>
    <row r="453" spans="1:9" ht="21">
      <c r="A453" s="1">
        <v>450</v>
      </c>
      <c r="B453" s="186" t="s">
        <v>1407</v>
      </c>
      <c r="C453" s="1"/>
      <c r="D453" s="74" t="s">
        <v>938</v>
      </c>
      <c r="E453" s="74" t="s">
        <v>1422</v>
      </c>
      <c r="F453" s="73">
        <v>25630000</v>
      </c>
      <c r="H453" s="20">
        <f>H452+Table1[[#This Row],[مبلغ ورود]]-Table1[[#This Row],[مبلغ خروج]]</f>
        <v>33950773523</v>
      </c>
      <c r="I453" s="216"/>
    </row>
    <row r="454" spans="1:9" ht="56.25">
      <c r="A454" s="1">
        <v>451</v>
      </c>
      <c r="B454" s="186" t="s">
        <v>1416</v>
      </c>
      <c r="C454" s="1">
        <v>587459</v>
      </c>
      <c r="D454" s="19" t="s">
        <v>938</v>
      </c>
      <c r="E454" s="74" t="s">
        <v>1423</v>
      </c>
      <c r="G454" s="20">
        <v>253070633</v>
      </c>
      <c r="H454" s="20">
        <f>H453+Table1[[#This Row],[مبلغ ورود]]-Table1[[#This Row],[مبلغ خروج]]</f>
        <v>33697702890</v>
      </c>
      <c r="I454" s="216"/>
    </row>
    <row r="455" spans="1:9" ht="56.25">
      <c r="A455" s="1">
        <v>452</v>
      </c>
      <c r="B455" s="186" t="s">
        <v>1424</v>
      </c>
      <c r="C455" s="1">
        <v>587460</v>
      </c>
      <c r="D455" s="19" t="s">
        <v>938</v>
      </c>
      <c r="E455" s="74" t="s">
        <v>1425</v>
      </c>
      <c r="G455" s="20">
        <v>112953280</v>
      </c>
      <c r="H455" s="20">
        <f>H454+Table1[[#This Row],[مبلغ ورود]]-Table1[[#This Row],[مبلغ خروج]]</f>
        <v>33584749610</v>
      </c>
      <c r="I455" s="216"/>
    </row>
    <row r="456" spans="1:9" ht="37.5">
      <c r="A456" s="1">
        <v>453</v>
      </c>
      <c r="B456" s="186" t="s">
        <v>1424</v>
      </c>
      <c r="C456" s="1">
        <v>587461</v>
      </c>
      <c r="D456" s="19" t="s">
        <v>938</v>
      </c>
      <c r="E456" s="74" t="s">
        <v>1418</v>
      </c>
      <c r="G456" s="20">
        <v>1199000000</v>
      </c>
      <c r="H456" s="20">
        <f>H455+Table1[[#This Row],[مبلغ ورود]]-Table1[[#This Row],[مبلغ خروج]]</f>
        <v>32385749610</v>
      </c>
      <c r="I456" s="216"/>
    </row>
    <row r="457" spans="1:9" ht="56.25">
      <c r="A457" s="1">
        <v>454</v>
      </c>
      <c r="B457" s="186" t="s">
        <v>1424</v>
      </c>
      <c r="C457" s="1"/>
      <c r="D457" s="74" t="s">
        <v>938</v>
      </c>
      <c r="E457" s="197" t="s">
        <v>1463</v>
      </c>
      <c r="F457" s="198">
        <v>1199000000</v>
      </c>
      <c r="G457" s="196"/>
      <c r="H457" s="20">
        <f>H456+Table1[[#This Row],[مبلغ ورود]]-Table1[[#This Row],[مبلغ خروج]]</f>
        <v>33584749610</v>
      </c>
      <c r="I457" s="216"/>
    </row>
    <row r="458" spans="1:9" ht="56.25">
      <c r="A458" s="1">
        <v>455</v>
      </c>
      <c r="B458" s="186" t="s">
        <v>1426</v>
      </c>
      <c r="C458" s="1">
        <v>587462</v>
      </c>
      <c r="D458" s="19" t="s">
        <v>938</v>
      </c>
      <c r="E458" s="74" t="s">
        <v>1427</v>
      </c>
      <c r="G458" s="20">
        <v>1423424600</v>
      </c>
      <c r="H458" s="20">
        <f>H457+Table1[[#This Row],[مبلغ ورود]]-Table1[[#This Row],[مبلغ خروج]]</f>
        <v>32161325010</v>
      </c>
      <c r="I458" s="216"/>
    </row>
    <row r="459" spans="1:9" ht="37.5">
      <c r="A459" s="1">
        <v>456</v>
      </c>
      <c r="B459" s="186" t="s">
        <v>1426</v>
      </c>
      <c r="C459" s="1">
        <v>587463</v>
      </c>
      <c r="D459" s="19" t="s">
        <v>938</v>
      </c>
      <c r="E459" s="74" t="s">
        <v>1428</v>
      </c>
      <c r="G459" s="20">
        <v>153940194</v>
      </c>
      <c r="H459" s="20">
        <f>H458+Table1[[#This Row],[مبلغ ورود]]-Table1[[#This Row],[مبلغ خروج]]</f>
        <v>32007384816</v>
      </c>
      <c r="I459" s="216"/>
    </row>
    <row r="460" spans="1:9" ht="56.25">
      <c r="A460" s="1">
        <v>457</v>
      </c>
      <c r="B460" s="186" t="s">
        <v>1426</v>
      </c>
      <c r="C460" s="1">
        <v>587464</v>
      </c>
      <c r="D460" s="19" t="s">
        <v>938</v>
      </c>
      <c r="E460" s="74" t="s">
        <v>1429</v>
      </c>
      <c r="G460" s="20">
        <v>100000000</v>
      </c>
      <c r="H460" s="20">
        <f>H459+Table1[[#This Row],[مبلغ ورود]]-Table1[[#This Row],[مبلغ خروج]]</f>
        <v>31907384816</v>
      </c>
      <c r="I460" s="216"/>
    </row>
    <row r="461" spans="1:9" ht="37.5">
      <c r="A461" s="1">
        <v>458</v>
      </c>
      <c r="B461" s="186" t="s">
        <v>1426</v>
      </c>
      <c r="C461" s="1">
        <v>587465</v>
      </c>
      <c r="D461" s="19" t="s">
        <v>938</v>
      </c>
      <c r="E461" s="74" t="s">
        <v>1430</v>
      </c>
      <c r="G461" s="20">
        <f>2925902151+2973185370</f>
        <v>5899087521</v>
      </c>
      <c r="H461" s="20">
        <f>H460+Table1[[#This Row],[مبلغ ورود]]-Table1[[#This Row],[مبلغ خروج]]</f>
        <v>26008297295</v>
      </c>
      <c r="I461" s="216"/>
    </row>
    <row r="462" spans="1:9" ht="37.5">
      <c r="A462" s="1">
        <v>459</v>
      </c>
      <c r="B462" s="186" t="s">
        <v>1431</v>
      </c>
      <c r="C462" s="1">
        <v>587466</v>
      </c>
      <c r="D462" s="19" t="s">
        <v>938</v>
      </c>
      <c r="E462" s="74" t="s">
        <v>1432</v>
      </c>
      <c r="G462" s="20">
        <f>53129000+114230000</f>
        <v>167359000</v>
      </c>
      <c r="H462" s="20">
        <f>H461+Table1[[#This Row],[مبلغ ورود]]-Table1[[#This Row],[مبلغ خروج]]</f>
        <v>25840938295</v>
      </c>
      <c r="I462" s="216"/>
    </row>
    <row r="463" spans="1:9" ht="56.25">
      <c r="A463" s="1">
        <v>460</v>
      </c>
      <c r="B463" s="186" t="s">
        <v>1431</v>
      </c>
      <c r="C463" s="1">
        <v>587467</v>
      </c>
      <c r="D463" s="19" t="s">
        <v>938</v>
      </c>
      <c r="E463" s="74" t="s">
        <v>1433</v>
      </c>
      <c r="G463" s="20">
        <v>26241750</v>
      </c>
      <c r="H463" s="20">
        <f>H462+Table1[[#This Row],[مبلغ ورود]]-Table1[[#This Row],[مبلغ خروج]]</f>
        <v>25814696545</v>
      </c>
      <c r="I463" s="216"/>
    </row>
    <row r="464" spans="1:9" ht="56.25">
      <c r="A464" s="1">
        <v>461</v>
      </c>
      <c r="B464" s="186" t="s">
        <v>1431</v>
      </c>
      <c r="C464" s="1">
        <v>587468</v>
      </c>
      <c r="D464" s="19" t="s">
        <v>938</v>
      </c>
      <c r="E464" s="74" t="s">
        <v>1434</v>
      </c>
      <c r="G464" s="20">
        <v>2000000000</v>
      </c>
      <c r="H464" s="20">
        <f>H463+Table1[[#This Row],[مبلغ ورود]]-Table1[[#This Row],[مبلغ خروج]]</f>
        <v>23814696545</v>
      </c>
      <c r="I464" s="216"/>
    </row>
    <row r="465" spans="1:9" ht="21">
      <c r="A465" s="1">
        <v>462</v>
      </c>
      <c r="B465" s="186" t="s">
        <v>1431</v>
      </c>
      <c r="C465" s="1"/>
      <c r="E465" s="74" t="s">
        <v>1182</v>
      </c>
      <c r="F465" s="73">
        <v>70000000000</v>
      </c>
      <c r="H465" s="20">
        <f>H464+Table1[[#This Row],[مبلغ ورود]]-Table1[[#This Row],[مبلغ خروج]]</f>
        <v>93814696545</v>
      </c>
      <c r="I465" s="216"/>
    </row>
    <row r="466" spans="1:9" ht="56.25">
      <c r="A466" s="1">
        <v>463</v>
      </c>
      <c r="B466" s="186" t="s">
        <v>1435</v>
      </c>
      <c r="C466" s="1">
        <v>587469</v>
      </c>
      <c r="D466" s="19" t="s">
        <v>938</v>
      </c>
      <c r="E466" s="74" t="s">
        <v>1436</v>
      </c>
      <c r="G466" s="20">
        <v>1165755000</v>
      </c>
      <c r="H466" s="20">
        <f>H465+Table1[[#This Row],[مبلغ ورود]]-Table1[[#This Row],[مبلغ خروج]]</f>
        <v>92648941545</v>
      </c>
      <c r="I466" s="216"/>
    </row>
    <row r="467" spans="1:9" ht="56.25">
      <c r="A467" s="1">
        <v>464</v>
      </c>
      <c r="B467" s="186" t="s">
        <v>1435</v>
      </c>
      <c r="C467" s="1">
        <v>587470</v>
      </c>
      <c r="D467" s="19" t="s">
        <v>938</v>
      </c>
      <c r="E467" s="74" t="s">
        <v>1437</v>
      </c>
      <c r="G467" s="20">
        <v>71000000000</v>
      </c>
      <c r="H467" s="20">
        <f>H466+Table1[[#This Row],[مبلغ ورود]]-Table1[[#This Row],[مبلغ خروج]]</f>
        <v>21648941545</v>
      </c>
      <c r="I467" s="216"/>
    </row>
    <row r="468" spans="1:9" ht="37.5">
      <c r="A468" s="1">
        <v>465</v>
      </c>
      <c r="B468" s="186" t="s">
        <v>1435</v>
      </c>
      <c r="C468" s="1">
        <v>587471</v>
      </c>
      <c r="D468" s="19" t="s">
        <v>938</v>
      </c>
      <c r="E468" s="74" t="s">
        <v>793</v>
      </c>
      <c r="G468" s="20">
        <v>3000000000</v>
      </c>
      <c r="H468" s="20">
        <f>H467+Table1[[#This Row],[مبلغ ورود]]-Table1[[#This Row],[مبلغ خروج]]</f>
        <v>18648941545</v>
      </c>
      <c r="I468" s="216"/>
    </row>
    <row r="469" spans="1:9" ht="37.5">
      <c r="A469" s="1">
        <v>466</v>
      </c>
      <c r="B469" s="186" t="s">
        <v>1439</v>
      </c>
      <c r="C469" s="1">
        <v>587472</v>
      </c>
      <c r="D469" s="19" t="s">
        <v>938</v>
      </c>
      <c r="E469" s="74" t="s">
        <v>1440</v>
      </c>
      <c r="G469" s="20">
        <v>348582000</v>
      </c>
      <c r="H469" s="20">
        <f>H468+Table1[[#This Row],[مبلغ ورود]]-Table1[[#This Row],[مبلغ خروج]]</f>
        <v>18300359545</v>
      </c>
      <c r="I469" s="216"/>
    </row>
    <row r="470" spans="1:9" ht="21">
      <c r="A470" s="1">
        <v>467</v>
      </c>
      <c r="B470" s="186" t="s">
        <v>1441</v>
      </c>
      <c r="C470" s="1"/>
      <c r="E470" s="74" t="s">
        <v>1128</v>
      </c>
      <c r="F470" s="73">
        <v>100000000000</v>
      </c>
      <c r="H470" s="20">
        <f>H469+Table1[[#This Row],[مبلغ ورود]]-Table1[[#This Row],[مبلغ خروج]]</f>
        <v>118300359545</v>
      </c>
      <c r="I470" s="216"/>
    </row>
    <row r="471" spans="1:9" ht="56.25">
      <c r="A471" s="1">
        <v>468</v>
      </c>
      <c r="B471" s="186" t="s">
        <v>1442</v>
      </c>
      <c r="C471" s="1">
        <v>587473</v>
      </c>
      <c r="D471" s="19" t="s">
        <v>938</v>
      </c>
      <c r="E471" s="74" t="s">
        <v>1443</v>
      </c>
      <c r="G471" s="20">
        <v>656538174</v>
      </c>
      <c r="H471" s="20">
        <f>H470+Table1[[#This Row],[مبلغ ورود]]-Table1[[#This Row],[مبلغ خروج]]</f>
        <v>117643821371</v>
      </c>
      <c r="I471" s="216"/>
    </row>
    <row r="472" spans="1:9" ht="37.5">
      <c r="A472" s="1">
        <v>469</v>
      </c>
      <c r="B472" s="21" t="s">
        <v>1442</v>
      </c>
      <c r="C472" s="1">
        <v>587474</v>
      </c>
      <c r="D472" s="19" t="s">
        <v>938</v>
      </c>
      <c r="E472" s="74" t="s">
        <v>1444</v>
      </c>
      <c r="G472" s="20">
        <v>395694000</v>
      </c>
      <c r="H472" s="20">
        <f>H471+Table1[[#This Row],[مبلغ ورود]]-Table1[[#This Row],[مبلغ خروج]]</f>
        <v>117248127371</v>
      </c>
      <c r="I472" s="216"/>
    </row>
    <row r="473" spans="1:9" ht="37.5">
      <c r="A473" s="1">
        <v>470</v>
      </c>
      <c r="B473" s="186" t="s">
        <v>1442</v>
      </c>
      <c r="C473" s="1">
        <v>587475</v>
      </c>
      <c r="D473" s="19" t="s">
        <v>938</v>
      </c>
      <c r="E473" s="74" t="s">
        <v>1445</v>
      </c>
      <c r="G473" s="20">
        <v>1199000000</v>
      </c>
      <c r="H473" s="20">
        <f>H472+Table1[[#This Row],[مبلغ ورود]]-Table1[[#This Row],[مبلغ خروج]]</f>
        <v>116049127371</v>
      </c>
      <c r="I473" s="216"/>
    </row>
    <row r="474" spans="1:9" ht="56.25">
      <c r="A474" s="1">
        <v>471</v>
      </c>
      <c r="B474" s="186" t="s">
        <v>1442</v>
      </c>
      <c r="C474" s="1">
        <v>587476</v>
      </c>
      <c r="D474" s="19" t="s">
        <v>938</v>
      </c>
      <c r="E474" s="74" t="s">
        <v>1437</v>
      </c>
      <c r="F474" s="194"/>
      <c r="G474" s="20">
        <v>37500000000</v>
      </c>
      <c r="H474" s="20">
        <f>H473+Table1[[#This Row],[مبلغ ورود]]-Table1[[#This Row],[مبلغ خروج]]</f>
        <v>78549127371</v>
      </c>
      <c r="I474" s="216"/>
    </row>
    <row r="475" spans="1:9" ht="37.5">
      <c r="A475" s="1">
        <v>472</v>
      </c>
      <c r="B475" s="186" t="s">
        <v>1442</v>
      </c>
      <c r="C475" s="1">
        <v>587477</v>
      </c>
      <c r="D475" s="19" t="s">
        <v>938</v>
      </c>
      <c r="E475" s="74" t="s">
        <v>1446</v>
      </c>
      <c r="F475" s="194"/>
      <c r="G475" s="20">
        <v>12890745000</v>
      </c>
      <c r="H475" s="20">
        <f>H474+Table1[[#This Row],[مبلغ ورود]]-Table1[[#This Row],[مبلغ خروج]]</f>
        <v>65658382371</v>
      </c>
      <c r="I475" s="216"/>
    </row>
    <row r="476" spans="1:9" ht="37.5">
      <c r="A476" s="1">
        <v>473</v>
      </c>
      <c r="B476" s="186" t="s">
        <v>1442</v>
      </c>
      <c r="C476" s="1">
        <v>587478</v>
      </c>
      <c r="D476" s="19" t="s">
        <v>938</v>
      </c>
      <c r="E476" s="74" t="s">
        <v>793</v>
      </c>
      <c r="F476" s="194"/>
      <c r="G476" s="20">
        <v>10000000000</v>
      </c>
      <c r="H476" s="20">
        <f>H475+Table1[[#This Row],[مبلغ ورود]]-Table1[[#This Row],[مبلغ خروج]]</f>
        <v>55658382371</v>
      </c>
      <c r="I476" s="216"/>
    </row>
    <row r="477" spans="1:9" ht="75">
      <c r="A477" s="1">
        <v>474</v>
      </c>
      <c r="B477" s="186" t="s">
        <v>1442</v>
      </c>
      <c r="C477" s="1">
        <v>587479</v>
      </c>
      <c r="D477" s="19" t="s">
        <v>938</v>
      </c>
      <c r="E477" s="74" t="s">
        <v>1447</v>
      </c>
      <c r="F477" s="194"/>
      <c r="G477" s="20">
        <v>236000000</v>
      </c>
      <c r="H477" s="20">
        <f>H476+Table1[[#This Row],[مبلغ ورود]]-Table1[[#This Row],[مبلغ خروج]]</f>
        <v>55422382371</v>
      </c>
      <c r="I477" s="216"/>
    </row>
    <row r="478" spans="1:9" ht="21">
      <c r="A478" s="1">
        <v>475</v>
      </c>
      <c r="B478" s="186" t="s">
        <v>1448</v>
      </c>
      <c r="C478" s="1"/>
      <c r="D478" s="19" t="s">
        <v>938</v>
      </c>
      <c r="E478" s="74" t="s">
        <v>1128</v>
      </c>
      <c r="F478" s="73">
        <v>118967359620</v>
      </c>
      <c r="H478" s="20">
        <f>H477+Table1[[#This Row],[مبلغ ورود]]-Table1[[#This Row],[مبلغ خروج]]</f>
        <v>174389741991</v>
      </c>
      <c r="I478" s="216"/>
    </row>
    <row r="479" spans="1:9" ht="56.25">
      <c r="A479" s="1">
        <v>476</v>
      </c>
      <c r="B479" s="186" t="s">
        <v>1448</v>
      </c>
      <c r="C479" s="193">
        <v>587480</v>
      </c>
      <c r="D479" s="19" t="s">
        <v>938</v>
      </c>
      <c r="E479" s="74" t="s">
        <v>1449</v>
      </c>
      <c r="F479" s="194"/>
      <c r="G479" s="20">
        <v>62163470</v>
      </c>
      <c r="H479" s="20">
        <f>H478+Table1[[#This Row],[مبلغ ورود]]-Table1[[#This Row],[مبلغ خروج]]</f>
        <v>174327578521</v>
      </c>
      <c r="I479" s="216"/>
    </row>
    <row r="480" spans="1:9" ht="56.25">
      <c r="A480" s="1">
        <v>477</v>
      </c>
      <c r="B480" s="186" t="s">
        <v>1448</v>
      </c>
      <c r="C480" s="1">
        <v>587481</v>
      </c>
      <c r="D480" s="19" t="s">
        <v>938</v>
      </c>
      <c r="E480" s="74" t="s">
        <v>1450</v>
      </c>
      <c r="G480" s="195">
        <v>3000000000</v>
      </c>
      <c r="H480" s="20">
        <f>H479+Table1[[#This Row],[مبلغ ورود]]-Table1[[#This Row],[مبلغ خروج]]</f>
        <v>171327578521</v>
      </c>
      <c r="I480" s="216"/>
    </row>
    <row r="481" spans="1:9" ht="37.5">
      <c r="A481" s="1">
        <v>478</v>
      </c>
      <c r="B481" s="186" t="s">
        <v>1451</v>
      </c>
      <c r="C481" s="1">
        <v>587482</v>
      </c>
      <c r="D481" s="19" t="s">
        <v>938</v>
      </c>
      <c r="E481" s="74" t="s">
        <v>1452</v>
      </c>
      <c r="G481" s="20">
        <v>12729249792</v>
      </c>
      <c r="H481" s="20">
        <f>H480+Table1[[#This Row],[مبلغ ورود]]-Table1[[#This Row],[مبلغ خروج]]</f>
        <v>158598328729</v>
      </c>
      <c r="I481" s="216"/>
    </row>
    <row r="482" spans="1:9" ht="21">
      <c r="A482" s="1">
        <v>479</v>
      </c>
      <c r="B482" s="186" t="s">
        <v>1451</v>
      </c>
      <c r="C482" s="1"/>
      <c r="E482" s="74" t="s">
        <v>1182</v>
      </c>
      <c r="F482" s="73">
        <v>13000000000</v>
      </c>
      <c r="H482" s="20">
        <f>H481+Table1[[#This Row],[مبلغ ورود]]-Table1[[#This Row],[مبلغ خروج]]</f>
        <v>171598328729</v>
      </c>
      <c r="I482" s="216"/>
    </row>
    <row r="483" spans="1:9" ht="37.5">
      <c r="A483" s="1">
        <v>480</v>
      </c>
      <c r="B483" s="186" t="s">
        <v>1451</v>
      </c>
      <c r="C483" s="1">
        <v>587483</v>
      </c>
      <c r="D483" s="19" t="s">
        <v>938</v>
      </c>
      <c r="E483" s="74" t="s">
        <v>1453</v>
      </c>
      <c r="G483" s="20">
        <v>33840000</v>
      </c>
      <c r="H483" s="20">
        <f>H482+Table1[[#This Row],[مبلغ ورود]]-Table1[[#This Row],[مبلغ خروج]]</f>
        <v>171564488729</v>
      </c>
      <c r="I483" s="216"/>
    </row>
    <row r="484" spans="1:9" ht="37.5">
      <c r="A484" s="1">
        <v>481</v>
      </c>
      <c r="B484" s="186" t="s">
        <v>1451</v>
      </c>
      <c r="C484" s="1">
        <v>587484</v>
      </c>
      <c r="D484" s="19" t="s">
        <v>938</v>
      </c>
      <c r="E484" s="74" t="s">
        <v>1454</v>
      </c>
      <c r="G484" s="20">
        <v>8891556190</v>
      </c>
      <c r="H484" s="20">
        <f>H483+Table1[[#This Row],[مبلغ ورود]]-Table1[[#This Row],[مبلغ خروج]]</f>
        <v>162672932539</v>
      </c>
      <c r="I484" s="216"/>
    </row>
    <row r="485" spans="1:9" ht="21">
      <c r="A485" s="1">
        <v>482</v>
      </c>
      <c r="B485" s="186" t="s">
        <v>1451</v>
      </c>
      <c r="C485" s="1"/>
      <c r="E485" s="74" t="s">
        <v>1455</v>
      </c>
      <c r="F485" s="73">
        <v>1199000000</v>
      </c>
      <c r="H485" s="20">
        <f>H484+Table1[[#This Row],[مبلغ ورود]]-Table1[[#This Row],[مبلغ خروج]]</f>
        <v>163871932539</v>
      </c>
      <c r="I485" s="216"/>
    </row>
    <row r="486" spans="1:9" ht="56.25">
      <c r="A486" s="1">
        <v>483</v>
      </c>
      <c r="B486" s="186" t="s">
        <v>1451</v>
      </c>
      <c r="C486" s="1">
        <v>587485</v>
      </c>
      <c r="D486" s="19" t="s">
        <v>938</v>
      </c>
      <c r="E486" s="175" t="s">
        <v>1456</v>
      </c>
      <c r="G486" s="20">
        <v>2967382050</v>
      </c>
      <c r="H486" s="20">
        <f>H485+Table1[[#This Row],[مبلغ ورود]]-Table1[[#This Row],[مبلغ خروج]]</f>
        <v>160904550489</v>
      </c>
      <c r="I486" s="216"/>
    </row>
    <row r="487" spans="1:9" ht="56.25">
      <c r="A487" s="1">
        <v>484</v>
      </c>
      <c r="B487" s="186" t="s">
        <v>1457</v>
      </c>
      <c r="C487" s="1">
        <v>587486</v>
      </c>
      <c r="D487" s="19" t="s">
        <v>938</v>
      </c>
      <c r="E487" s="74" t="s">
        <v>1459</v>
      </c>
      <c r="G487" s="20">
        <v>1403837913</v>
      </c>
      <c r="H487" s="20">
        <f>H486+Table1[[#This Row],[مبلغ ورود]]-Table1[[#This Row],[مبلغ خروج]]</f>
        <v>159500712576</v>
      </c>
      <c r="I487" s="216"/>
    </row>
    <row r="488" spans="1:9" ht="37.5">
      <c r="A488" s="1">
        <v>485</v>
      </c>
      <c r="B488" s="186" t="s">
        <v>1457</v>
      </c>
      <c r="C488" s="1">
        <v>587487</v>
      </c>
      <c r="D488" s="19" t="s">
        <v>938</v>
      </c>
      <c r="E488" s="74" t="s">
        <v>793</v>
      </c>
      <c r="G488" s="20">
        <v>10000000000</v>
      </c>
      <c r="H488" s="20">
        <f>H487+Table1[[#This Row],[مبلغ ورود]]-Table1[[#This Row],[مبلغ خروج]]</f>
        <v>149500712576</v>
      </c>
      <c r="I488" s="216"/>
    </row>
    <row r="489" spans="1:9" ht="37.5">
      <c r="A489" s="1">
        <v>486</v>
      </c>
      <c r="B489" s="186" t="s">
        <v>1457</v>
      </c>
      <c r="C489" s="1">
        <v>587488</v>
      </c>
      <c r="D489" s="19" t="s">
        <v>938</v>
      </c>
      <c r="E489" s="74" t="s">
        <v>1458</v>
      </c>
      <c r="G489" s="20">
        <v>9265000000</v>
      </c>
      <c r="H489" s="20">
        <f>H488+Table1[[#This Row],[مبلغ ورود]]-Table1[[#This Row],[مبلغ خروج]]</f>
        <v>140235712576</v>
      </c>
      <c r="I489" s="216"/>
    </row>
    <row r="490" spans="1:9" ht="37.5">
      <c r="A490" s="1">
        <v>487</v>
      </c>
      <c r="B490" s="186" t="s">
        <v>1457</v>
      </c>
      <c r="C490" s="1">
        <v>587489</v>
      </c>
      <c r="D490" s="19" t="s">
        <v>938</v>
      </c>
      <c r="E490" s="74" t="s">
        <v>1460</v>
      </c>
      <c r="G490" s="20">
        <v>70000000000</v>
      </c>
      <c r="H490" s="20">
        <f>H489+Table1[[#This Row],[مبلغ ورود]]-Table1[[#This Row],[مبلغ خروج]]</f>
        <v>70235712576</v>
      </c>
      <c r="I490" s="216"/>
    </row>
    <row r="491" spans="1:9" ht="37.5">
      <c r="A491" s="1">
        <v>488</v>
      </c>
      <c r="B491" s="186" t="s">
        <v>1461</v>
      </c>
      <c r="C491" s="1">
        <v>587490</v>
      </c>
      <c r="D491" s="19" t="s">
        <v>938</v>
      </c>
      <c r="E491" s="74" t="s">
        <v>1460</v>
      </c>
      <c r="G491" s="20">
        <v>1199000000</v>
      </c>
      <c r="H491" s="20">
        <f>H490+Table1[[#This Row],[مبلغ ورود]]-Table1[[#This Row],[مبلغ خروج]]</f>
        <v>69036712576</v>
      </c>
      <c r="I491" s="216"/>
    </row>
    <row r="492" spans="1:9" ht="21">
      <c r="A492" s="1">
        <v>489</v>
      </c>
      <c r="B492" s="199" t="s">
        <v>1464</v>
      </c>
      <c r="C492" s="152"/>
      <c r="D492" s="200"/>
      <c r="E492" s="201" t="s">
        <v>1465</v>
      </c>
      <c r="F492" s="202"/>
      <c r="G492" s="203">
        <v>2361500</v>
      </c>
      <c r="H492" s="203">
        <f>H491+Table1[[#This Row],[مبلغ ورود]]-Table1[[#This Row],[مبلغ خروج]]</f>
        <v>69034351076</v>
      </c>
      <c r="I492" s="216"/>
    </row>
    <row r="493" spans="1:9" ht="37.5">
      <c r="A493" s="1">
        <v>490</v>
      </c>
      <c r="B493" s="186" t="s">
        <v>1464</v>
      </c>
      <c r="C493" s="1">
        <v>587491</v>
      </c>
      <c r="D493" s="19" t="s">
        <v>938</v>
      </c>
      <c r="E493" s="74" t="s">
        <v>1466</v>
      </c>
      <c r="G493" s="20">
        <v>529934091</v>
      </c>
      <c r="H493" s="20">
        <f>H492+Table1[[#This Row],[مبلغ ورود]]-Table1[[#This Row],[مبلغ خروج]]</f>
        <v>68504416985</v>
      </c>
      <c r="I493" s="216"/>
    </row>
    <row r="494" spans="1:9" ht="37.5">
      <c r="A494" s="1">
        <v>491</v>
      </c>
      <c r="B494" s="186" t="s">
        <v>1464</v>
      </c>
      <c r="C494" s="1">
        <v>587492</v>
      </c>
      <c r="D494" s="19" t="s">
        <v>938</v>
      </c>
      <c r="E494" s="74" t="s">
        <v>1467</v>
      </c>
      <c r="G494" s="20">
        <v>437244685</v>
      </c>
      <c r="H494" s="20">
        <f>H493+Table1[[#This Row],[مبلغ ورود]]-Table1[[#This Row],[مبلغ خروج]]</f>
        <v>68067172300</v>
      </c>
      <c r="I494" s="216"/>
    </row>
    <row r="495" spans="1:9" ht="37.5">
      <c r="A495" s="1">
        <v>492</v>
      </c>
      <c r="B495" s="186" t="s">
        <v>1464</v>
      </c>
      <c r="C495" s="1">
        <v>587493</v>
      </c>
      <c r="D495" s="19" t="s">
        <v>938</v>
      </c>
      <c r="E495" s="151" t="s">
        <v>1468</v>
      </c>
      <c r="G495" s="20">
        <v>2500000000</v>
      </c>
      <c r="H495" s="20">
        <f>H494+Table1[[#This Row],[مبلغ ورود]]-Table1[[#This Row],[مبلغ خروج]]</f>
        <v>65567172300</v>
      </c>
      <c r="I495" s="216"/>
    </row>
    <row r="496" spans="1:9" ht="21">
      <c r="A496" s="1">
        <v>493</v>
      </c>
      <c r="B496" s="186" t="s">
        <v>1464</v>
      </c>
      <c r="C496" s="1">
        <v>587494</v>
      </c>
      <c r="D496" s="19" t="s">
        <v>938</v>
      </c>
      <c r="E496" s="74" t="s">
        <v>710</v>
      </c>
      <c r="G496" s="20">
        <v>5000000000</v>
      </c>
      <c r="H496" s="20">
        <f>H495+Table1[[#This Row],[مبلغ ورود]]-Table1[[#This Row],[مبلغ خروج]]</f>
        <v>60567172300</v>
      </c>
      <c r="I496" s="216"/>
    </row>
    <row r="497" spans="1:9" ht="21">
      <c r="A497" s="1">
        <v>494</v>
      </c>
      <c r="B497" s="186" t="s">
        <v>1471</v>
      </c>
      <c r="C497" s="1"/>
      <c r="D497" s="19" t="s">
        <v>938</v>
      </c>
      <c r="E497" s="74" t="s">
        <v>1470</v>
      </c>
      <c r="F497" s="73">
        <v>179961587</v>
      </c>
      <c r="H497" s="20">
        <f>H496+Table1[[#This Row],[مبلغ ورود]]-Table1[[#This Row],[مبلغ خروج]]</f>
        <v>60747133887</v>
      </c>
      <c r="I497" s="216"/>
    </row>
    <row r="498" spans="1:9" ht="21">
      <c r="A498" s="1">
        <v>495</v>
      </c>
      <c r="B498" s="186" t="s">
        <v>1471</v>
      </c>
      <c r="C498" s="1"/>
      <c r="D498" s="19" t="s">
        <v>938</v>
      </c>
      <c r="E498" s="74" t="s">
        <v>1472</v>
      </c>
      <c r="G498" s="20">
        <v>24000</v>
      </c>
      <c r="H498" s="20">
        <f>H497+Table1[[#This Row],[مبلغ ورود]]-Table1[[#This Row],[مبلغ خروج]]</f>
        <v>60747109887</v>
      </c>
      <c r="I498" s="216"/>
    </row>
    <row r="499" spans="1:9" ht="21">
      <c r="A499" s="1">
        <v>496</v>
      </c>
      <c r="B499" s="186" t="s">
        <v>1471</v>
      </c>
      <c r="C499" s="1"/>
      <c r="D499" s="19" t="s">
        <v>938</v>
      </c>
      <c r="E499" s="74" t="s">
        <v>1472</v>
      </c>
      <c r="G499" s="20">
        <v>60000</v>
      </c>
      <c r="H499" s="20">
        <f>H498+Table1[[#This Row],[مبلغ ورود]]-Table1[[#This Row],[مبلغ خروج]]</f>
        <v>60747049887</v>
      </c>
      <c r="I499" s="216"/>
    </row>
    <row r="500" spans="1:9" ht="56.25">
      <c r="A500" s="1">
        <v>497</v>
      </c>
      <c r="B500" s="186" t="s">
        <v>1473</v>
      </c>
      <c r="C500" s="1"/>
      <c r="D500" s="19" t="s">
        <v>938</v>
      </c>
      <c r="E500" s="74" t="s">
        <v>1474</v>
      </c>
      <c r="F500" s="20">
        <v>705012000</v>
      </c>
      <c r="H500" s="20">
        <f>H499+Table1[[#This Row],[مبلغ ورود]]-Table1[[#This Row],[مبلغ خروج]]</f>
        <v>61452061887</v>
      </c>
      <c r="I500" s="216"/>
    </row>
    <row r="501" spans="1:9" ht="37.5">
      <c r="A501" s="1">
        <v>498</v>
      </c>
      <c r="B501" s="186" t="s">
        <v>1475</v>
      </c>
      <c r="C501" s="1">
        <v>587495</v>
      </c>
      <c r="D501" s="19" t="s">
        <v>938</v>
      </c>
      <c r="E501" s="74" t="s">
        <v>1476</v>
      </c>
      <c r="G501" s="20">
        <v>2567753984</v>
      </c>
      <c r="H501" s="20">
        <f>H500+Table1[[#This Row],[مبلغ ورود]]-Table1[[#This Row],[مبلغ خروج]]</f>
        <v>58884307903</v>
      </c>
      <c r="I501" s="20"/>
    </row>
    <row r="502" spans="1:9" ht="37.5">
      <c r="A502" s="1">
        <v>499</v>
      </c>
      <c r="B502" s="186" t="s">
        <v>1479</v>
      </c>
      <c r="C502" s="1">
        <v>587496</v>
      </c>
      <c r="D502" s="19" t="s">
        <v>938</v>
      </c>
      <c r="E502" s="74" t="s">
        <v>793</v>
      </c>
      <c r="G502" s="20">
        <v>10000000000</v>
      </c>
      <c r="H502" s="20">
        <f>H501+Table1[[#This Row],[مبلغ ورود]]-Table1[[#This Row],[مبلغ خروج]]</f>
        <v>48884307903</v>
      </c>
      <c r="I502" s="20"/>
    </row>
    <row r="503" spans="1:9" ht="37.5">
      <c r="A503" s="1">
        <v>500</v>
      </c>
      <c r="B503" s="186" t="s">
        <v>1479</v>
      </c>
      <c r="C503" s="1">
        <v>587497</v>
      </c>
      <c r="D503" s="19" t="s">
        <v>938</v>
      </c>
      <c r="E503" s="74" t="s">
        <v>1460</v>
      </c>
      <c r="G503" s="20">
        <v>40000000000</v>
      </c>
      <c r="H503" s="20">
        <f>H502+Table1[[#This Row],[مبلغ ورود]]-Table1[[#This Row],[مبلغ خروج]]</f>
        <v>8884307903</v>
      </c>
      <c r="I503" s="20"/>
    </row>
    <row r="504" spans="1:9" ht="21">
      <c r="A504" s="1">
        <v>501</v>
      </c>
      <c r="B504" s="186" t="s">
        <v>1480</v>
      </c>
      <c r="C504" s="1"/>
      <c r="D504" s="74" t="s">
        <v>938</v>
      </c>
      <c r="E504" s="74" t="s">
        <v>1338</v>
      </c>
      <c r="F504" s="73">
        <v>1334712100</v>
      </c>
      <c r="H504" s="20">
        <f>H503+Table1[[#This Row],[مبلغ ورود]]-Table1[[#This Row],[مبلغ خروج]]</f>
        <v>10219020003</v>
      </c>
      <c r="I504" s="216"/>
    </row>
    <row r="505" spans="1:9" ht="21">
      <c r="A505" s="1">
        <v>502</v>
      </c>
      <c r="B505" s="186" t="s">
        <v>1479</v>
      </c>
      <c r="C505" s="1"/>
      <c r="D505" s="74" t="s">
        <v>938</v>
      </c>
      <c r="E505" s="74" t="s">
        <v>1481</v>
      </c>
      <c r="G505" s="20">
        <v>110000</v>
      </c>
      <c r="H505" s="20">
        <f>H504+Table1[[#This Row],[مبلغ ورود]]-Table1[[#This Row],[مبلغ خروج]]</f>
        <v>10218910003</v>
      </c>
      <c r="I505" s="216"/>
    </row>
    <row r="506" spans="1:9" ht="21">
      <c r="A506" s="1">
        <v>503</v>
      </c>
      <c r="B506" s="186" t="s">
        <v>1487</v>
      </c>
      <c r="C506" s="1"/>
      <c r="D506" s="74" t="s">
        <v>938</v>
      </c>
      <c r="E506" s="74" t="s">
        <v>1486</v>
      </c>
      <c r="G506" s="20">
        <v>10000</v>
      </c>
      <c r="H506" s="20">
        <f>H505+Table1[[#This Row],[مبلغ ورود]]-Table1[[#This Row],[مبلغ خروج]]</f>
        <v>10218900003</v>
      </c>
      <c r="I506" s="216"/>
    </row>
    <row r="507" spans="1:9" ht="21">
      <c r="A507" s="1">
        <v>504</v>
      </c>
      <c r="B507" s="186" t="s">
        <v>1487</v>
      </c>
      <c r="C507" s="1"/>
      <c r="D507" s="74" t="s">
        <v>938</v>
      </c>
      <c r="E507" s="74" t="s">
        <v>1486</v>
      </c>
      <c r="G507" s="20">
        <v>10000</v>
      </c>
      <c r="H507" s="20">
        <f>H506+Table1[[#This Row],[مبلغ ورود]]-Table1[[#This Row],[مبلغ خروج]]</f>
        <v>10218890003</v>
      </c>
      <c r="I507" s="216"/>
    </row>
    <row r="508" spans="1:9" ht="21">
      <c r="A508" s="1">
        <v>505</v>
      </c>
      <c r="B508" s="186" t="s">
        <v>1487</v>
      </c>
      <c r="C508" s="1"/>
      <c r="D508" s="74" t="s">
        <v>938</v>
      </c>
      <c r="E508" s="74" t="s">
        <v>1486</v>
      </c>
      <c r="G508" s="20">
        <v>10000</v>
      </c>
      <c r="H508" s="20">
        <f>H507+Table1[[#This Row],[مبلغ ورود]]-Table1[[#This Row],[مبلغ خروج]]</f>
        <v>10218880003</v>
      </c>
      <c r="I508" s="216"/>
    </row>
    <row r="509" spans="1:9" ht="75">
      <c r="A509" s="1">
        <v>506</v>
      </c>
      <c r="B509" s="186" t="s">
        <v>1482</v>
      </c>
      <c r="C509" s="1">
        <v>587498</v>
      </c>
      <c r="D509" s="19" t="s">
        <v>938</v>
      </c>
      <c r="E509" s="74" t="s">
        <v>1483</v>
      </c>
      <c r="G509" s="20">
        <v>15900000</v>
      </c>
      <c r="H509" s="20">
        <f>H508+Table1[[#This Row],[مبلغ ورود]]-Table1[[#This Row],[مبلغ خروج]]</f>
        <v>10202980003</v>
      </c>
      <c r="I509" s="20"/>
    </row>
    <row r="510" spans="1:9" ht="37.5">
      <c r="A510" s="1">
        <v>507</v>
      </c>
      <c r="B510" s="186" t="s">
        <v>1482</v>
      </c>
      <c r="C510" s="1">
        <v>587499</v>
      </c>
      <c r="D510" s="19" t="s">
        <v>938</v>
      </c>
      <c r="E510" s="74" t="s">
        <v>1484</v>
      </c>
      <c r="G510" s="20">
        <v>114924474</v>
      </c>
      <c r="H510" s="20">
        <f>H509+Table1[[#This Row],[مبلغ ورود]]-Table1[[#This Row],[مبلغ خروج]]</f>
        <v>10088055529</v>
      </c>
      <c r="I510" s="20"/>
    </row>
    <row r="511" spans="1:9" ht="75">
      <c r="A511" s="1">
        <v>508</v>
      </c>
      <c r="B511" s="186" t="s">
        <v>1482</v>
      </c>
      <c r="C511" s="1">
        <v>587500</v>
      </c>
      <c r="D511" s="19" t="s">
        <v>938</v>
      </c>
      <c r="E511" s="74" t="s">
        <v>1485</v>
      </c>
      <c r="G511" s="20">
        <v>73088397</v>
      </c>
      <c r="H511" s="20">
        <f>H510+Table1[[#This Row],[مبلغ ورود]]-Table1[[#This Row],[مبلغ خروج]]</f>
        <v>10014967132</v>
      </c>
      <c r="I511" s="20"/>
    </row>
    <row r="512" spans="1:9" ht="56.25">
      <c r="A512" s="1">
        <v>509</v>
      </c>
      <c r="B512" s="186" t="s">
        <v>1488</v>
      </c>
      <c r="C512" s="1">
        <v>600551</v>
      </c>
      <c r="D512" s="19" t="s">
        <v>938</v>
      </c>
      <c r="E512" s="74" t="s">
        <v>1489</v>
      </c>
      <c r="G512" s="20">
        <v>59563000</v>
      </c>
      <c r="H512" s="20">
        <f>H511+Table1[[#This Row],[مبلغ ورود]]-Table1[[#This Row],[مبلغ خروج]]</f>
        <v>9955404132</v>
      </c>
      <c r="I512" s="216"/>
    </row>
    <row r="513" spans="1:9" ht="37.5">
      <c r="A513" s="1">
        <v>510</v>
      </c>
      <c r="B513" s="186" t="s">
        <v>1488</v>
      </c>
      <c r="C513" s="1">
        <v>600552</v>
      </c>
      <c r="D513" s="19" t="s">
        <v>938</v>
      </c>
      <c r="E513" s="74" t="s">
        <v>1490</v>
      </c>
      <c r="G513" s="20">
        <v>78320000</v>
      </c>
      <c r="H513" s="20">
        <f>H512+Table1[[#This Row],[مبلغ ورود]]-Table1[[#This Row],[مبلغ خروج]]</f>
        <v>9877084132</v>
      </c>
      <c r="I513" s="216"/>
    </row>
    <row r="514" spans="1:9" ht="21">
      <c r="A514" s="1">
        <v>511</v>
      </c>
      <c r="B514" s="186" t="s">
        <v>1493</v>
      </c>
      <c r="C514" s="1"/>
      <c r="E514" s="74" t="s">
        <v>1492</v>
      </c>
      <c r="F514" s="73">
        <v>35000000000</v>
      </c>
      <c r="H514" s="20">
        <f>H513+Table1[[#This Row],[مبلغ ورود]]-Table1[[#This Row],[مبلغ خروج]]</f>
        <v>44877084132</v>
      </c>
      <c r="I514" s="216"/>
    </row>
    <row r="515" spans="1:9" ht="21">
      <c r="A515" s="1">
        <v>512</v>
      </c>
      <c r="B515" s="186" t="s">
        <v>1491</v>
      </c>
      <c r="C515" s="1">
        <v>600553</v>
      </c>
      <c r="D515" s="19" t="s">
        <v>938</v>
      </c>
      <c r="E515" s="74" t="s">
        <v>1478</v>
      </c>
      <c r="G515" s="20">
        <v>0</v>
      </c>
      <c r="H515" s="20">
        <f>H514+Table1[[#This Row],[مبلغ ورود]]-Table1[[#This Row],[مبلغ خروج]]</f>
        <v>44877084132</v>
      </c>
      <c r="I515" s="216"/>
    </row>
    <row r="516" spans="1:9" ht="37.5">
      <c r="A516" s="1">
        <v>513</v>
      </c>
      <c r="B516" s="186" t="s">
        <v>1491</v>
      </c>
      <c r="C516" s="1">
        <v>600554</v>
      </c>
      <c r="D516" s="19" t="s">
        <v>938</v>
      </c>
      <c r="E516" s="74" t="s">
        <v>1460</v>
      </c>
      <c r="G516" s="20">
        <v>25000000000</v>
      </c>
      <c r="H516" s="20">
        <f>H515+Table1[[#This Row],[مبلغ ورود]]-Table1[[#This Row],[مبلغ خروج]]</f>
        <v>19877084132</v>
      </c>
      <c r="I516" s="216"/>
    </row>
    <row r="517" spans="1:9" ht="56.25">
      <c r="A517" s="1">
        <v>514</v>
      </c>
      <c r="B517" s="186" t="s">
        <v>1491</v>
      </c>
      <c r="C517" s="1">
        <v>600555</v>
      </c>
      <c r="D517" s="19" t="s">
        <v>938</v>
      </c>
      <c r="E517" s="74" t="s">
        <v>1425</v>
      </c>
      <c r="G517" s="20">
        <v>58888302</v>
      </c>
      <c r="H517" s="20">
        <f>H516+Table1[[#This Row],[مبلغ ورود]]-Table1[[#This Row],[مبلغ خروج]]</f>
        <v>19818195830</v>
      </c>
      <c r="I517" s="216"/>
    </row>
    <row r="518" spans="1:9" ht="37.5">
      <c r="A518" s="1">
        <v>515</v>
      </c>
      <c r="B518" s="186" t="s">
        <v>1491</v>
      </c>
      <c r="C518" s="1">
        <v>600556</v>
      </c>
      <c r="D518" s="19" t="s">
        <v>938</v>
      </c>
      <c r="E518" s="74" t="s">
        <v>793</v>
      </c>
      <c r="G518" s="20">
        <v>5000000000</v>
      </c>
      <c r="H518" s="20">
        <f>H517+Table1[[#This Row],[مبلغ ورود]]-Table1[[#This Row],[مبلغ خروج]]</f>
        <v>14818195830</v>
      </c>
      <c r="I518" s="216"/>
    </row>
    <row r="519" spans="1:9" ht="21">
      <c r="A519" s="1">
        <v>516</v>
      </c>
      <c r="B519" s="186" t="s">
        <v>1491</v>
      </c>
      <c r="C519" s="1">
        <v>600557</v>
      </c>
      <c r="D519" s="19" t="s">
        <v>938</v>
      </c>
      <c r="E519" s="74" t="s">
        <v>710</v>
      </c>
      <c r="G519" s="20">
        <v>5000000000</v>
      </c>
      <c r="H519" s="20">
        <f>H518+Table1[[#This Row],[مبلغ ورود]]-Table1[[#This Row],[مبلغ خروج]]</f>
        <v>9818195830</v>
      </c>
      <c r="I519" s="216"/>
    </row>
    <row r="520" spans="1:9" ht="56.25">
      <c r="A520" s="1">
        <v>517</v>
      </c>
      <c r="B520" s="186" t="s">
        <v>1494</v>
      </c>
      <c r="C520" s="1">
        <v>600558</v>
      </c>
      <c r="D520" s="19" t="s">
        <v>938</v>
      </c>
      <c r="E520" s="74" t="s">
        <v>1495</v>
      </c>
      <c r="G520" s="20">
        <v>60548116</v>
      </c>
      <c r="H520" s="20">
        <f>H519+Table1[[#This Row],[مبلغ ورود]]-Table1[[#This Row],[مبلغ خروج]]</f>
        <v>9757647714</v>
      </c>
      <c r="I520" s="216"/>
    </row>
    <row r="521" spans="1:9" ht="21">
      <c r="A521" s="1">
        <v>518</v>
      </c>
      <c r="B521" s="21" t="s">
        <v>1494</v>
      </c>
      <c r="C521" s="1">
        <v>600559</v>
      </c>
      <c r="D521" s="19" t="s">
        <v>938</v>
      </c>
      <c r="E521" s="74" t="s">
        <v>1496</v>
      </c>
      <c r="G521" s="20">
        <v>200000000</v>
      </c>
      <c r="H521" s="20">
        <f>H520+Table1[[#This Row],[مبلغ ورود]]-Table1[[#This Row],[مبلغ خروج]]</f>
        <v>9557647714</v>
      </c>
      <c r="I521" s="216"/>
    </row>
    <row r="522" spans="1:9" ht="21">
      <c r="A522" s="1">
        <v>519</v>
      </c>
      <c r="B522" s="186" t="s">
        <v>1497</v>
      </c>
      <c r="C522" s="1"/>
      <c r="D522" s="19" t="s">
        <v>938</v>
      </c>
      <c r="E522" s="74" t="s">
        <v>1218</v>
      </c>
      <c r="F522" s="73">
        <v>15000000000</v>
      </c>
      <c r="H522" s="20">
        <f>H521+Table1[[#This Row],[مبلغ ورود]]-Table1[[#This Row],[مبلغ خروج]]</f>
        <v>24557647714</v>
      </c>
      <c r="I522" s="216"/>
    </row>
    <row r="523" spans="1:9" ht="21">
      <c r="A523" s="1">
        <v>520</v>
      </c>
      <c r="B523" s="186" t="s">
        <v>1497</v>
      </c>
      <c r="C523" s="1"/>
      <c r="D523" s="19" t="s">
        <v>938</v>
      </c>
      <c r="E523" s="74" t="s">
        <v>1498</v>
      </c>
      <c r="G523" s="20">
        <v>12000</v>
      </c>
      <c r="H523" s="20">
        <f>H522+Table1[[#This Row],[مبلغ ورود]]-Table1[[#This Row],[مبلغ خروج]]</f>
        <v>24557635714</v>
      </c>
      <c r="I523" s="216"/>
    </row>
    <row r="524" spans="1:9" ht="56.25">
      <c r="A524" s="1">
        <v>521</v>
      </c>
      <c r="B524" s="186" t="s">
        <v>1499</v>
      </c>
      <c r="C524" s="1">
        <v>600560</v>
      </c>
      <c r="D524" s="19" t="s">
        <v>938</v>
      </c>
      <c r="E524" s="74" t="s">
        <v>1500</v>
      </c>
      <c r="G524" s="20">
        <v>68390300</v>
      </c>
      <c r="H524" s="20">
        <f>H523+Table1[[#This Row],[مبلغ ورود]]-Table1[[#This Row],[مبلغ خروج]]</f>
        <v>24489245414</v>
      </c>
      <c r="I524" s="216"/>
    </row>
    <row r="525" spans="1:9" ht="37.5">
      <c r="A525" s="1">
        <v>522</v>
      </c>
      <c r="B525" s="186" t="s">
        <v>1499</v>
      </c>
      <c r="C525" s="1">
        <v>600561</v>
      </c>
      <c r="D525" s="19" t="s">
        <v>938</v>
      </c>
      <c r="E525" s="74" t="s">
        <v>1501</v>
      </c>
      <c r="G525" s="20">
        <v>105964000</v>
      </c>
      <c r="H525" s="20">
        <f>H524+Table1[[#This Row],[مبلغ ورود]]-Table1[[#This Row],[مبلغ خروج]]</f>
        <v>24383281414</v>
      </c>
      <c r="I525" s="216"/>
    </row>
    <row r="526" spans="1:9" ht="21">
      <c r="A526" s="1">
        <v>523</v>
      </c>
      <c r="B526" s="186" t="s">
        <v>1499</v>
      </c>
      <c r="C526" s="1"/>
      <c r="D526" s="19" t="s">
        <v>938</v>
      </c>
      <c r="E526" s="74" t="s">
        <v>1502</v>
      </c>
      <c r="F526" s="73">
        <v>65000000000</v>
      </c>
      <c r="H526" s="20">
        <f>H525+Table1[[#This Row],[مبلغ ورود]]-Table1[[#This Row],[مبلغ خروج]]</f>
        <v>89383281414</v>
      </c>
      <c r="I526" s="216"/>
    </row>
    <row r="527" spans="1:9" ht="37.5">
      <c r="A527" s="1">
        <v>524</v>
      </c>
      <c r="B527" s="186" t="s">
        <v>1503</v>
      </c>
      <c r="C527" s="1">
        <v>600562</v>
      </c>
      <c r="D527" s="19" t="s">
        <v>938</v>
      </c>
      <c r="E527" s="74" t="s">
        <v>793</v>
      </c>
      <c r="G527" s="20">
        <v>10000000000</v>
      </c>
      <c r="H527" s="20">
        <f>H526+Table1[[#This Row],[مبلغ ورود]]-Table1[[#This Row],[مبلغ خروج]]</f>
        <v>79383281414</v>
      </c>
      <c r="I527" s="216"/>
    </row>
    <row r="528" spans="1:9" ht="56.25">
      <c r="A528" s="1">
        <v>525</v>
      </c>
      <c r="B528" s="186" t="s">
        <v>1503</v>
      </c>
      <c r="C528" s="1">
        <v>600563</v>
      </c>
      <c r="D528" s="19" t="s">
        <v>938</v>
      </c>
      <c r="E528" s="74" t="s">
        <v>1504</v>
      </c>
      <c r="F528" s="219"/>
      <c r="G528" s="220">
        <v>70448000</v>
      </c>
      <c r="H528" s="20">
        <f>H527+Table1[[#This Row],[مبلغ ورود]]-Table1[[#This Row],[مبلغ خروج]]</f>
        <v>79312833414</v>
      </c>
      <c r="I528" s="216"/>
    </row>
    <row r="529" spans="1:9" ht="37.5">
      <c r="A529" s="1">
        <v>526</v>
      </c>
      <c r="B529" s="186" t="s">
        <v>1503</v>
      </c>
      <c r="C529" s="1">
        <v>600564</v>
      </c>
      <c r="D529" s="19" t="s">
        <v>938</v>
      </c>
      <c r="E529" s="74" t="s">
        <v>1505</v>
      </c>
      <c r="F529" s="219"/>
      <c r="G529" s="220">
        <v>12459515000</v>
      </c>
      <c r="H529" s="20">
        <f>H528+Table1[[#This Row],[مبلغ ورود]]-Table1[[#This Row],[مبلغ خروج]]</f>
        <v>66853318414</v>
      </c>
      <c r="I529" s="216"/>
    </row>
    <row r="530" spans="1:9" ht="56.25">
      <c r="A530" s="1">
        <v>527</v>
      </c>
      <c r="B530" s="186" t="s">
        <v>1503</v>
      </c>
      <c r="C530" s="1">
        <v>600565</v>
      </c>
      <c r="D530" s="19" t="s">
        <v>938</v>
      </c>
      <c r="E530" s="74" t="s">
        <v>1506</v>
      </c>
      <c r="F530" s="219"/>
      <c r="G530" s="220">
        <v>1231664700</v>
      </c>
      <c r="H530" s="20">
        <f>H529+Table1[[#This Row],[مبلغ ورود]]-Table1[[#This Row],[مبلغ خروج]]</f>
        <v>65621653714</v>
      </c>
      <c r="I530" s="216"/>
    </row>
    <row r="531" spans="1:9" ht="37.5">
      <c r="A531" s="1">
        <v>528</v>
      </c>
      <c r="B531" s="186" t="s">
        <v>1503</v>
      </c>
      <c r="C531" s="1">
        <v>600566</v>
      </c>
      <c r="D531" s="19" t="s">
        <v>938</v>
      </c>
      <c r="E531" s="74" t="s">
        <v>1507</v>
      </c>
      <c r="F531" s="219"/>
      <c r="G531" s="220">
        <v>494250362</v>
      </c>
      <c r="H531" s="20">
        <f>H530+Table1[[#This Row],[مبلغ ورود]]-Table1[[#This Row],[مبلغ خروج]]</f>
        <v>65127403352</v>
      </c>
      <c r="I531" s="216"/>
    </row>
    <row r="532" spans="1:9" ht="37.5">
      <c r="A532" s="1">
        <v>529</v>
      </c>
      <c r="B532" s="186" t="s">
        <v>1503</v>
      </c>
      <c r="C532" s="1">
        <v>600567</v>
      </c>
      <c r="D532" s="19" t="s">
        <v>938</v>
      </c>
      <c r="E532" s="74" t="s">
        <v>1508</v>
      </c>
      <c r="F532" s="219"/>
      <c r="G532" s="220">
        <v>438734955</v>
      </c>
      <c r="H532" s="20">
        <f>H531+Table1[[#This Row],[مبلغ ورود]]-Table1[[#This Row],[مبلغ خروج]]</f>
        <v>64688668397</v>
      </c>
      <c r="I532" s="216"/>
    </row>
    <row r="533" spans="1:9" ht="21">
      <c r="A533" s="1">
        <v>530</v>
      </c>
      <c r="B533" s="186" t="s">
        <v>1503</v>
      </c>
      <c r="C533" s="1">
        <v>600568</v>
      </c>
      <c r="D533" s="19" t="s">
        <v>938</v>
      </c>
      <c r="E533" s="74" t="s">
        <v>710</v>
      </c>
      <c r="F533" s="221"/>
      <c r="G533" s="220">
        <v>5000000000</v>
      </c>
      <c r="H533" s="20">
        <f>H532+Table1[[#This Row],[مبلغ ورود]]-Table1[[#This Row],[مبلغ خروج]]</f>
        <v>59688668397</v>
      </c>
      <c r="I533" s="216"/>
    </row>
    <row r="534" spans="1:9" ht="21">
      <c r="A534" s="1">
        <v>531</v>
      </c>
      <c r="B534" s="186" t="s">
        <v>1503</v>
      </c>
      <c r="C534" s="1">
        <v>600569</v>
      </c>
      <c r="D534" s="19" t="s">
        <v>938</v>
      </c>
      <c r="E534" s="151" t="s">
        <v>1478</v>
      </c>
      <c r="F534" s="221"/>
      <c r="G534" s="220">
        <v>0</v>
      </c>
      <c r="H534" s="20">
        <f>H533+Table1[[#This Row],[مبلغ ورود]]-Table1[[#This Row],[مبلغ خروج]]</f>
        <v>59688668397</v>
      </c>
      <c r="I534" s="216"/>
    </row>
    <row r="535" spans="1:9" ht="37.5">
      <c r="A535" s="1">
        <v>532</v>
      </c>
      <c r="B535" s="186" t="s">
        <v>1503</v>
      </c>
      <c r="C535" s="1">
        <v>600570</v>
      </c>
      <c r="D535" s="19" t="s">
        <v>938</v>
      </c>
      <c r="E535" s="151" t="s">
        <v>1509</v>
      </c>
      <c r="F535" s="221"/>
      <c r="G535" s="220">
        <v>2500000000</v>
      </c>
      <c r="H535" s="20">
        <f>H534+Table1[[#This Row],[مبلغ ورود]]-Table1[[#This Row],[مبلغ خروج]]</f>
        <v>57188668397</v>
      </c>
      <c r="I535" s="216"/>
    </row>
    <row r="536" spans="1:9" ht="37.5">
      <c r="A536" s="1">
        <v>533</v>
      </c>
      <c r="B536" s="186" t="s">
        <v>1503</v>
      </c>
      <c r="C536" s="1">
        <v>600571</v>
      </c>
      <c r="D536" s="19" t="s">
        <v>938</v>
      </c>
      <c r="E536" s="74" t="s">
        <v>1510</v>
      </c>
      <c r="F536" s="221"/>
      <c r="G536" s="220">
        <v>500000000</v>
      </c>
      <c r="H536" s="20">
        <f>H535+Table1[[#This Row],[مبلغ ورود]]-Table1[[#This Row],[مبلغ خروج]]</f>
        <v>56688668397</v>
      </c>
      <c r="I536" s="216"/>
    </row>
    <row r="537" spans="1:9" ht="56.25">
      <c r="A537" s="1">
        <v>534</v>
      </c>
      <c r="B537" s="186" t="s">
        <v>1512</v>
      </c>
      <c r="C537" s="1">
        <v>600572</v>
      </c>
      <c r="D537" s="19" t="s">
        <v>938</v>
      </c>
      <c r="E537" s="74" t="s">
        <v>1511</v>
      </c>
      <c r="F537" s="221"/>
      <c r="G537" s="220">
        <v>2292647058</v>
      </c>
      <c r="H537" s="20">
        <f>H536+Table1[[#This Row],[مبلغ ورود]]-Table1[[#This Row],[مبلغ خروج]]</f>
        <v>54396021339</v>
      </c>
      <c r="I537" s="216"/>
    </row>
    <row r="538" spans="1:9" ht="21">
      <c r="A538" s="1"/>
      <c r="B538" s="186" t="s">
        <v>1512</v>
      </c>
      <c r="C538" s="1"/>
      <c r="D538" s="74" t="s">
        <v>938</v>
      </c>
      <c r="E538" s="74" t="s">
        <v>1522</v>
      </c>
      <c r="F538" s="219"/>
      <c r="G538" s="220">
        <v>304000</v>
      </c>
      <c r="H538" s="20">
        <f>H537+Table1[[#This Row],[مبلغ ورود]]-Table1[[#This Row],[مبلغ خروج]]</f>
        <v>54395717339</v>
      </c>
      <c r="I538" s="216"/>
    </row>
    <row r="539" spans="1:9" ht="21">
      <c r="A539" s="1"/>
      <c r="B539" s="186" t="s">
        <v>1512</v>
      </c>
      <c r="C539" s="1"/>
      <c r="D539" s="74" t="s">
        <v>938</v>
      </c>
      <c r="E539" s="74" t="s">
        <v>1338</v>
      </c>
      <c r="F539" s="219">
        <v>1651024449</v>
      </c>
      <c r="G539" s="220"/>
      <c r="H539" s="20">
        <f>H538+Table1[[#This Row],[مبلغ ورود]]-Table1[[#This Row],[مبلغ خروج]]</f>
        <v>56046741788</v>
      </c>
      <c r="I539" s="216"/>
    </row>
    <row r="540" spans="1:9" ht="37.5">
      <c r="A540" s="1">
        <v>535</v>
      </c>
      <c r="B540" s="186" t="s">
        <v>1512</v>
      </c>
      <c r="C540" s="217">
        <v>600573</v>
      </c>
      <c r="D540" s="19" t="s">
        <v>938</v>
      </c>
      <c r="E540" s="74" t="s">
        <v>1513</v>
      </c>
      <c r="F540" s="221"/>
      <c r="G540" s="220">
        <v>50000000000</v>
      </c>
      <c r="H540" s="20">
        <f>H539+Table1[[#This Row],[مبلغ ورود]]-Table1[[#This Row],[مبلغ خروج]]</f>
        <v>6046741788</v>
      </c>
      <c r="I540" s="216"/>
    </row>
    <row r="541" spans="1:9" ht="56.25">
      <c r="A541" s="1">
        <v>536</v>
      </c>
      <c r="B541" s="186" t="s">
        <v>1514</v>
      </c>
      <c r="C541" s="217">
        <v>600574</v>
      </c>
      <c r="D541" s="19" t="s">
        <v>938</v>
      </c>
      <c r="E541" s="74" t="s">
        <v>1515</v>
      </c>
      <c r="F541" s="221"/>
      <c r="G541" s="228">
        <v>100000000</v>
      </c>
      <c r="H541" s="20">
        <f>H540+Table1[[#This Row],[مبلغ ورود]]-Table1[[#This Row],[مبلغ خروج]]</f>
        <v>5946741788</v>
      </c>
      <c r="I541" s="216"/>
    </row>
    <row r="542" spans="1:9" ht="21">
      <c r="A542" s="1">
        <v>537</v>
      </c>
      <c r="B542" s="186" t="s">
        <v>1514</v>
      </c>
      <c r="C542" s="217"/>
      <c r="E542" s="74" t="s">
        <v>1516</v>
      </c>
      <c r="F542" s="221">
        <v>78145050</v>
      </c>
      <c r="G542" s="220"/>
      <c r="H542" s="20">
        <f>H541+Table1[[#This Row],[مبلغ ورود]]-Table1[[#This Row],[مبلغ خروج]]</f>
        <v>6024886838</v>
      </c>
      <c r="I542" s="216"/>
    </row>
    <row r="543" spans="1:9" ht="37.5">
      <c r="A543" s="1">
        <v>538</v>
      </c>
      <c r="B543" s="186" t="s">
        <v>1514</v>
      </c>
      <c r="C543" s="217">
        <v>600575</v>
      </c>
      <c r="D543" s="74" t="s">
        <v>938</v>
      </c>
      <c r="E543" s="74" t="s">
        <v>1517</v>
      </c>
      <c r="F543" s="74"/>
      <c r="G543" s="220">
        <v>76260000</v>
      </c>
      <c r="H543" s="20">
        <f>H542+Table1[[#This Row],[مبلغ ورود]]-Table1[[#This Row],[مبلغ خروج]]</f>
        <v>5948626838</v>
      </c>
      <c r="I543" s="216"/>
    </row>
    <row r="544" spans="1:9" ht="21">
      <c r="A544" s="1">
        <v>539</v>
      </c>
      <c r="B544" s="186" t="s">
        <v>1514</v>
      </c>
      <c r="C544" s="74"/>
      <c r="D544" s="74" t="s">
        <v>938</v>
      </c>
      <c r="E544" s="74" t="s">
        <v>1518</v>
      </c>
      <c r="F544" s="220">
        <v>35000000000</v>
      </c>
      <c r="G544" s="220"/>
      <c r="H544" s="20">
        <f>H543+Table1[[#This Row],[مبلغ ورود]]-Table1[[#This Row],[مبلغ خروج]]</f>
        <v>40948626838</v>
      </c>
      <c r="I544" s="216"/>
    </row>
    <row r="545" spans="1:9" ht="21">
      <c r="A545" s="1">
        <v>540</v>
      </c>
      <c r="B545" s="186" t="s">
        <v>1514</v>
      </c>
      <c r="C545" s="74"/>
      <c r="D545" s="74" t="s">
        <v>938</v>
      </c>
      <c r="E545" s="74" t="s">
        <v>1519</v>
      </c>
      <c r="F545" s="74"/>
      <c r="G545" s="220">
        <v>7040</v>
      </c>
      <c r="H545" s="20">
        <f>H544+Table1[[#This Row],[مبلغ ورود]]-Table1[[#This Row],[مبلغ خروج]]</f>
        <v>40948619798</v>
      </c>
      <c r="I545" s="216"/>
    </row>
    <row r="546" spans="1:9" ht="21">
      <c r="A546" s="1">
        <v>541</v>
      </c>
      <c r="B546" s="186" t="s">
        <v>1524</v>
      </c>
      <c r="C546" s="1"/>
      <c r="D546" s="74" t="s">
        <v>938</v>
      </c>
      <c r="E546" s="74" t="s">
        <v>1523</v>
      </c>
      <c r="F546" s="219"/>
      <c r="G546" s="220">
        <v>246332</v>
      </c>
      <c r="H546" s="20">
        <f>H545+Table1[[#This Row],[مبلغ ورود]]-Table1[[#This Row],[مبلغ خروج]]</f>
        <v>40948373466</v>
      </c>
      <c r="I546" s="216"/>
    </row>
    <row r="547" spans="1:9" ht="56.25">
      <c r="A547" s="1">
        <v>542</v>
      </c>
      <c r="B547" s="186" t="s">
        <v>1520</v>
      </c>
      <c r="C547" s="217">
        <v>600576</v>
      </c>
      <c r="D547" s="74" t="s">
        <v>938</v>
      </c>
      <c r="E547" s="74" t="s">
        <v>1521</v>
      </c>
      <c r="F547" s="221"/>
      <c r="G547" s="220">
        <v>54395621</v>
      </c>
      <c r="H547" s="20">
        <f>H546+Table1[[#This Row],[مبلغ ورود]]-Table1[[#This Row],[مبلغ خروج]]</f>
        <v>40893977845</v>
      </c>
      <c r="I547" s="216"/>
    </row>
    <row r="548" spans="1:9" ht="21">
      <c r="A548" s="217">
        <v>243</v>
      </c>
      <c r="B548" s="186" t="s">
        <v>1520</v>
      </c>
      <c r="C548" s="217"/>
      <c r="D548" s="74" t="s">
        <v>938</v>
      </c>
      <c r="E548" s="74" t="s">
        <v>1519</v>
      </c>
      <c r="F548" s="221"/>
      <c r="G548" s="220">
        <v>250000</v>
      </c>
      <c r="H548" s="20">
        <f>H547+Table1[[#This Row],[مبلغ ورود]]-Table1[[#This Row],[مبلغ خروج]]</f>
        <v>40893727845</v>
      </c>
      <c r="I548" s="216"/>
    </row>
    <row r="549" spans="1:9" ht="21">
      <c r="A549" s="217">
        <v>244</v>
      </c>
      <c r="B549" s="186" t="s">
        <v>1525</v>
      </c>
      <c r="C549" s="217"/>
      <c r="D549" s="74" t="s">
        <v>938</v>
      </c>
      <c r="E549" s="74" t="s">
        <v>1338</v>
      </c>
      <c r="F549" s="221">
        <v>1308681527</v>
      </c>
      <c r="G549" s="220"/>
      <c r="H549" s="20">
        <f>H548+Table1[[#This Row],[مبلغ ورود]]-Table1[[#This Row],[مبلغ خروج]]</f>
        <v>42202409372</v>
      </c>
      <c r="I549" s="216"/>
    </row>
    <row r="550" spans="1:9" ht="56.25" customHeight="1">
      <c r="A550" s="217">
        <v>245</v>
      </c>
      <c r="B550" s="186" t="s">
        <v>1527</v>
      </c>
      <c r="C550" s="217">
        <v>600577</v>
      </c>
      <c r="D550" s="74" t="s">
        <v>938</v>
      </c>
      <c r="E550" s="74" t="s">
        <v>1526</v>
      </c>
      <c r="F550" s="221"/>
      <c r="G550" s="220">
        <v>52496941</v>
      </c>
      <c r="H550" s="20">
        <f>H549+Table1[[#This Row],[مبلغ ورود]]-Table1[[#This Row],[مبلغ خروج]]</f>
        <v>42149912431</v>
      </c>
      <c r="I550" s="216"/>
    </row>
    <row r="551" spans="1:9" ht="56.25" customHeight="1">
      <c r="A551" s="1">
        <v>246</v>
      </c>
      <c r="B551" s="186"/>
      <c r="C551" s="1"/>
      <c r="D551" s="74" t="s">
        <v>938</v>
      </c>
      <c r="E551" s="223" t="s">
        <v>1518</v>
      </c>
      <c r="F551" s="221">
        <v>150000000000</v>
      </c>
      <c r="G551" s="220"/>
      <c r="H551" s="20">
        <f>H550+Table1[[#This Row],[مبلغ ورود]]-Table1[[#This Row],[مبلغ خروج]]</f>
        <v>192149912431</v>
      </c>
      <c r="I551" s="216"/>
    </row>
    <row r="552" spans="1:9" ht="37.5">
      <c r="A552" s="217">
        <v>247</v>
      </c>
      <c r="B552" s="186" t="s">
        <v>1528</v>
      </c>
      <c r="C552" s="217">
        <v>600578</v>
      </c>
      <c r="D552" s="74" t="s">
        <v>938</v>
      </c>
      <c r="E552" s="222" t="s">
        <v>1510</v>
      </c>
      <c r="F552" s="221"/>
      <c r="G552" s="220">
        <v>10000000000</v>
      </c>
      <c r="H552" s="20">
        <f>H551+Table1[[#This Row],[مبلغ ورود]]-Table1[[#This Row],[مبلغ خروج]]</f>
        <v>182149912431</v>
      </c>
      <c r="I552" s="216"/>
    </row>
    <row r="553" spans="1:9" ht="55.5" customHeight="1">
      <c r="A553" s="217">
        <v>248</v>
      </c>
      <c r="B553" s="186" t="s">
        <v>1530</v>
      </c>
      <c r="C553" s="217">
        <v>600579</v>
      </c>
      <c r="D553" s="74" t="s">
        <v>938</v>
      </c>
      <c r="E553" s="74" t="s">
        <v>1529</v>
      </c>
      <c r="F553" s="221"/>
      <c r="G553" s="220">
        <v>53795734</v>
      </c>
      <c r="H553" s="20">
        <f>H552+Table1[[#This Row],[مبلغ ورود]]-Table1[[#This Row],[مبلغ خروج]]</f>
        <v>182096116697</v>
      </c>
      <c r="I553" s="216"/>
    </row>
    <row r="554" spans="1:9" ht="37.5">
      <c r="A554" s="217">
        <v>249</v>
      </c>
      <c r="B554" s="186" t="s">
        <v>1530</v>
      </c>
      <c r="C554" s="217">
        <v>600580</v>
      </c>
      <c r="D554" s="74" t="s">
        <v>938</v>
      </c>
      <c r="E554" s="74" t="s">
        <v>1513</v>
      </c>
      <c r="F554" s="218"/>
      <c r="G554" s="20">
        <v>150000000000</v>
      </c>
      <c r="H554" s="20">
        <f>H553+Table1[[#This Row],[مبلغ ورود]]-Table1[[#This Row],[مبلغ خروج]]</f>
        <v>32096116697</v>
      </c>
      <c r="I554" s="216"/>
    </row>
    <row r="555" spans="1:9" ht="37.5">
      <c r="A555" s="217">
        <v>250</v>
      </c>
      <c r="B555" s="186" t="s">
        <v>1530</v>
      </c>
      <c r="C555" s="217">
        <v>600581</v>
      </c>
      <c r="D555" s="74" t="s">
        <v>938</v>
      </c>
      <c r="E555" s="224" t="s">
        <v>793</v>
      </c>
      <c r="F555" s="221"/>
      <c r="G555" s="220">
        <v>6000000000</v>
      </c>
      <c r="H555" s="20">
        <f>H554+Table1[[#This Row],[مبلغ ورود]]-Table1[[#This Row],[مبلغ خروج]]</f>
        <v>26096116697</v>
      </c>
      <c r="I555" s="216"/>
    </row>
    <row r="556" spans="1:9" ht="21">
      <c r="A556" s="217">
        <v>251</v>
      </c>
      <c r="B556" s="186" t="s">
        <v>1531</v>
      </c>
      <c r="C556" s="225"/>
      <c r="D556" s="74" t="s">
        <v>938</v>
      </c>
      <c r="E556" s="74" t="s">
        <v>1546</v>
      </c>
      <c r="F556" s="220"/>
      <c r="G556" s="220">
        <f>250000+250000+250000+7626</f>
        <v>757626</v>
      </c>
      <c r="H556" s="20">
        <f>H555+Table1[[#This Row],[مبلغ ورود]]-Table1[[#This Row],[مبلغ خروج]]</f>
        <v>26095359071</v>
      </c>
      <c r="I556" s="216"/>
    </row>
    <row r="557" spans="1:9" ht="21">
      <c r="A557" s="217">
        <v>252</v>
      </c>
      <c r="B557" s="186" t="s">
        <v>1533</v>
      </c>
      <c r="C557" s="225"/>
      <c r="D557" s="74" t="s">
        <v>938</v>
      </c>
      <c r="E557" s="74" t="s">
        <v>1532</v>
      </c>
      <c r="F557" s="220">
        <v>47257900</v>
      </c>
      <c r="G557" s="220"/>
      <c r="H557" s="20">
        <f>H556+Table1[[#This Row],[مبلغ ورود]]-Table1[[#This Row],[مبلغ خروج]]</f>
        <v>26142616971</v>
      </c>
      <c r="I557" s="216"/>
    </row>
    <row r="558" spans="1:9" ht="56.25">
      <c r="A558" s="217">
        <v>253</v>
      </c>
      <c r="B558" s="186" t="s">
        <v>1535</v>
      </c>
      <c r="C558" s="225">
        <v>600582</v>
      </c>
      <c r="D558" s="74" t="s">
        <v>938</v>
      </c>
      <c r="E558" s="74" t="s">
        <v>1534</v>
      </c>
      <c r="F558" s="230"/>
      <c r="G558" s="220">
        <v>1000000000</v>
      </c>
      <c r="H558" s="20">
        <f>H557+Table1[[#This Row],[مبلغ ورود]]-Table1[[#This Row],[مبلغ خروج]]</f>
        <v>25142616971</v>
      </c>
      <c r="I558" s="216"/>
    </row>
    <row r="559" spans="1:9" ht="37.5">
      <c r="A559" s="217">
        <v>254</v>
      </c>
      <c r="B559" s="186" t="s">
        <v>1535</v>
      </c>
      <c r="C559" s="225">
        <v>600583</v>
      </c>
      <c r="D559" s="74" t="s">
        <v>938</v>
      </c>
      <c r="E559" s="74" t="s">
        <v>1536</v>
      </c>
      <c r="F559" s="230"/>
      <c r="G559" s="220">
        <v>3751024</v>
      </c>
      <c r="H559" s="20">
        <f>H558+Table1[[#This Row],[مبلغ ورود]]-Table1[[#This Row],[مبلغ خروج]]</f>
        <v>25138865947</v>
      </c>
      <c r="I559" s="216"/>
    </row>
    <row r="560" spans="1:9" ht="56.25">
      <c r="A560" s="217">
        <v>255</v>
      </c>
      <c r="B560" s="186" t="s">
        <v>1537</v>
      </c>
      <c r="C560" s="225">
        <v>600584</v>
      </c>
      <c r="D560" s="74" t="s">
        <v>938</v>
      </c>
      <c r="E560" s="74" t="s">
        <v>1538</v>
      </c>
      <c r="F560" s="230"/>
      <c r="G560" s="220">
        <v>70430318</v>
      </c>
      <c r="H560" s="20">
        <f>H559+Table1[[#This Row],[مبلغ ورود]]-Table1[[#This Row],[مبلغ خروج]]</f>
        <v>25068435629</v>
      </c>
      <c r="I560" s="216"/>
    </row>
    <row r="561" spans="1:9" ht="37.5">
      <c r="A561" s="217">
        <v>256</v>
      </c>
      <c r="B561" s="186" t="s">
        <v>1540</v>
      </c>
      <c r="C561" s="225">
        <v>600585</v>
      </c>
      <c r="D561" s="74" t="s">
        <v>938</v>
      </c>
      <c r="E561" s="74" t="s">
        <v>1539</v>
      </c>
      <c r="F561" s="231"/>
      <c r="G561" s="220">
        <v>8000000000</v>
      </c>
      <c r="H561" s="20">
        <f>H560+Table1[[#This Row],[مبلغ ورود]]-Table1[[#This Row],[مبلغ خروج]]</f>
        <v>17068435629</v>
      </c>
      <c r="I561" s="216"/>
    </row>
    <row r="562" spans="1:9" ht="21">
      <c r="A562" s="217">
        <v>256</v>
      </c>
      <c r="B562" s="186" t="s">
        <v>1543</v>
      </c>
      <c r="C562" s="1"/>
      <c r="E562" s="74" t="s">
        <v>1542</v>
      </c>
      <c r="F562" s="220">
        <v>70000000000</v>
      </c>
      <c r="G562" s="220"/>
      <c r="H562" s="20">
        <f>H561+Table1[[#This Row],[مبلغ ورود]]-Table1[[#This Row],[مبلغ خروج]]</f>
        <v>87068435629</v>
      </c>
      <c r="I562" s="216"/>
    </row>
    <row r="563" spans="1:9" ht="21">
      <c r="A563" s="1">
        <v>257</v>
      </c>
      <c r="B563" s="186" t="s">
        <v>1545</v>
      </c>
      <c r="C563" s="1"/>
      <c r="E563" s="74" t="s">
        <v>1544</v>
      </c>
      <c r="F563" s="220">
        <v>79887506</v>
      </c>
      <c r="G563" s="220"/>
      <c r="H563" s="20">
        <f>H562+Table1[[#This Row],[مبلغ ورود]]-Table1[[#This Row],[مبلغ خروج]]</f>
        <v>87148323135</v>
      </c>
      <c r="I563" s="216"/>
    </row>
    <row r="564" spans="1:9" ht="21">
      <c r="A564" s="1">
        <v>258</v>
      </c>
      <c r="B564" s="229"/>
      <c r="C564" s="1"/>
      <c r="D564" s="74" t="s">
        <v>938</v>
      </c>
      <c r="E564" s="74" t="s">
        <v>1547</v>
      </c>
      <c r="F564" s="220"/>
      <c r="G564" s="220">
        <v>250000</v>
      </c>
      <c r="H564" s="20">
        <f>H563+Table1[[#This Row],[مبلغ ورود]]-Table1[[#This Row],[مبلغ خروج]]</f>
        <v>87148073135</v>
      </c>
      <c r="I564" s="216"/>
    </row>
    <row r="565" spans="1:9" ht="37.5">
      <c r="A565" s="217">
        <v>259</v>
      </c>
      <c r="B565" s="186" t="s">
        <v>1541</v>
      </c>
      <c r="C565" s="226">
        <v>600586</v>
      </c>
      <c r="D565" s="74" t="s">
        <v>938</v>
      </c>
      <c r="E565" s="74" t="s">
        <v>1539</v>
      </c>
      <c r="F565" s="231"/>
      <c r="G565" s="220">
        <v>87000000000</v>
      </c>
      <c r="H565" s="20">
        <f>H564+Table1[[#This Row],[مبلغ ورود]]-Table1[[#This Row],[مبلغ خروج]]</f>
        <v>148073135</v>
      </c>
      <c r="I565" s="216"/>
    </row>
    <row r="566" spans="1:9" ht="21">
      <c r="A566" s="217">
        <v>264</v>
      </c>
      <c r="B566" s="186" t="s">
        <v>1548</v>
      </c>
      <c r="C566" s="1"/>
      <c r="D566" s="74" t="s">
        <v>938</v>
      </c>
      <c r="E566" s="74" t="s">
        <v>1552</v>
      </c>
      <c r="F566" s="73">
        <v>10000000000</v>
      </c>
      <c r="H566" s="20">
        <f>H565+Table1[[#This Row],[مبلغ ورود]]-Table1[[#This Row],[مبلغ خروج]]</f>
        <v>10148073135</v>
      </c>
      <c r="I566" s="216"/>
    </row>
    <row r="567" spans="1:9" ht="37.5">
      <c r="A567" s="217">
        <v>260</v>
      </c>
      <c r="B567" s="186" t="s">
        <v>1548</v>
      </c>
      <c r="C567" s="226">
        <v>600587</v>
      </c>
      <c r="D567" s="74" t="s">
        <v>938</v>
      </c>
      <c r="E567" s="74" t="s">
        <v>1549</v>
      </c>
      <c r="F567" s="227"/>
      <c r="G567" s="20">
        <v>522372678</v>
      </c>
      <c r="H567" s="20">
        <f>H566+Table1[[#This Row],[مبلغ ورود]]-Table1[[#This Row],[مبلغ خروج]]</f>
        <v>9625700457</v>
      </c>
      <c r="I567" s="216"/>
    </row>
    <row r="568" spans="1:9" ht="37.5">
      <c r="A568" s="217">
        <v>261</v>
      </c>
      <c r="B568" s="186" t="s">
        <v>1548</v>
      </c>
      <c r="C568" s="226">
        <v>600588</v>
      </c>
      <c r="D568" s="74" t="s">
        <v>938</v>
      </c>
      <c r="E568" s="74" t="s">
        <v>1550</v>
      </c>
      <c r="F568" s="227"/>
      <c r="G568" s="20">
        <v>431317962</v>
      </c>
      <c r="H568" s="20">
        <f>H567+Table1[[#This Row],[مبلغ ورود]]-Table1[[#This Row],[مبلغ خروج]]</f>
        <v>9194382495</v>
      </c>
      <c r="I568" s="216"/>
    </row>
    <row r="569" spans="1:9" ht="21">
      <c r="A569" s="217">
        <v>262</v>
      </c>
      <c r="B569" s="186" t="s">
        <v>1548</v>
      </c>
      <c r="C569" s="226">
        <v>600589</v>
      </c>
      <c r="D569" s="74" t="s">
        <v>938</v>
      </c>
      <c r="E569" s="74" t="s">
        <v>710</v>
      </c>
      <c r="F569" s="227"/>
      <c r="G569" s="20">
        <v>5000000000</v>
      </c>
      <c r="H569" s="20">
        <f>H568+Table1[[#This Row],[مبلغ ورود]]-Table1[[#This Row],[مبلغ خروج]]</f>
        <v>4194382495</v>
      </c>
      <c r="I569" s="216"/>
    </row>
    <row r="570" spans="1:9" ht="37.5">
      <c r="A570" s="217">
        <v>263</v>
      </c>
      <c r="B570" s="186" t="s">
        <v>1548</v>
      </c>
      <c r="C570" s="1">
        <v>600590</v>
      </c>
      <c r="D570" s="74" t="s">
        <v>938</v>
      </c>
      <c r="E570" s="151" t="s">
        <v>1551</v>
      </c>
      <c r="G570" s="20">
        <v>2500000000</v>
      </c>
      <c r="H570" s="20">
        <f>H569+Table1[[#This Row],[مبلغ ورود]]-Table1[[#This Row],[مبلغ خروج]]</f>
        <v>1694382495</v>
      </c>
      <c r="I570" s="216"/>
    </row>
    <row r="571" spans="1:9" ht="21">
      <c r="A571" s="217">
        <v>265</v>
      </c>
      <c r="B571" s="186" t="s">
        <v>1553</v>
      </c>
      <c r="C571" s="1">
        <v>600591</v>
      </c>
      <c r="D571" s="74" t="s">
        <v>938</v>
      </c>
      <c r="E571" s="20" t="s">
        <v>1554</v>
      </c>
      <c r="F571" s="20"/>
      <c r="G571" s="20">
        <v>84354000</v>
      </c>
      <c r="H571" s="20">
        <f>H570+Table1[[#This Row],[مبلغ ورود]]-Table1[[#This Row],[مبلغ خروج]]</f>
        <v>1610028495</v>
      </c>
      <c r="I571" s="216"/>
    </row>
    <row r="572" spans="1:9" ht="21">
      <c r="A572" s="217">
        <v>266</v>
      </c>
      <c r="B572" s="186" t="s">
        <v>1555</v>
      </c>
      <c r="C572" s="232"/>
      <c r="D572" s="74" t="s">
        <v>938</v>
      </c>
      <c r="E572" s="234" t="s">
        <v>1338</v>
      </c>
      <c r="F572" s="20">
        <v>1281397357</v>
      </c>
      <c r="H572" s="20">
        <f>H571+Table1[[#This Row],[مبلغ ورود]]-Table1[[#This Row],[مبلغ خروج]]</f>
        <v>2891425852</v>
      </c>
      <c r="I572" s="216"/>
    </row>
    <row r="573" spans="1:9" ht="21">
      <c r="A573" s="217">
        <v>267</v>
      </c>
      <c r="B573" s="186" t="s">
        <v>1548</v>
      </c>
      <c r="C573" s="232"/>
      <c r="D573" s="74" t="s">
        <v>938</v>
      </c>
      <c r="E573" s="234" t="s">
        <v>1556</v>
      </c>
      <c r="F573" s="20"/>
      <c r="G573" s="20">
        <f>24000+66000+250000</f>
        <v>340000</v>
      </c>
      <c r="H573" s="20">
        <f>H572+Table1[[#This Row],[مبلغ ورود]]-Table1[[#This Row],[مبلغ خروج]]</f>
        <v>2891085852</v>
      </c>
      <c r="I573" s="216"/>
    </row>
    <row r="574" spans="1:9" ht="21">
      <c r="A574" s="217">
        <v>268</v>
      </c>
      <c r="B574" s="186" t="s">
        <v>1563</v>
      </c>
      <c r="C574" s="235"/>
      <c r="D574" s="236"/>
      <c r="E574" s="234" t="s">
        <v>1542</v>
      </c>
      <c r="F574" s="20">
        <v>80000000000</v>
      </c>
      <c r="H574" s="20">
        <f>H573+Table1[[#This Row],[مبلغ ورود]]-Table1[[#This Row],[مبلغ خروج]]</f>
        <v>82891085852</v>
      </c>
      <c r="I574" s="216"/>
    </row>
    <row r="575" spans="1:9" ht="56.25">
      <c r="A575" s="217">
        <v>269</v>
      </c>
      <c r="B575" s="186" t="s">
        <v>1557</v>
      </c>
      <c r="C575" s="1">
        <v>600592</v>
      </c>
      <c r="D575" s="74" t="s">
        <v>938</v>
      </c>
      <c r="E575" s="74" t="s">
        <v>1558</v>
      </c>
      <c r="F575" s="233"/>
      <c r="G575" s="20">
        <v>67303048</v>
      </c>
      <c r="H575" s="20">
        <f>H574+Table1[[#This Row],[مبلغ ورود]]-Table1[[#This Row],[مبلغ خروج]]</f>
        <v>82823782804</v>
      </c>
      <c r="I575" s="216"/>
    </row>
    <row r="576" spans="1:9" ht="56.25">
      <c r="A576" s="217">
        <v>270</v>
      </c>
      <c r="B576" s="186" t="s">
        <v>1557</v>
      </c>
      <c r="C576" s="1">
        <v>600593</v>
      </c>
      <c r="D576" s="74" t="s">
        <v>938</v>
      </c>
      <c r="E576" s="74" t="s">
        <v>1559</v>
      </c>
      <c r="F576" s="233"/>
      <c r="G576" s="20">
        <v>314614592</v>
      </c>
      <c r="H576" s="20">
        <f>H575+Table1[[#This Row],[مبلغ ورود]]-Table1[[#This Row],[مبلغ خروج]]</f>
        <v>82509168212</v>
      </c>
      <c r="I576" s="216"/>
    </row>
    <row r="577" spans="1:9" ht="37.5">
      <c r="A577" s="217">
        <v>271</v>
      </c>
      <c r="B577" s="186" t="s">
        <v>1557</v>
      </c>
      <c r="C577" s="232">
        <v>600594</v>
      </c>
      <c r="D577" s="74" t="s">
        <v>938</v>
      </c>
      <c r="E577" s="74" t="s">
        <v>1560</v>
      </c>
      <c r="F577" s="233"/>
      <c r="G577" s="20">
        <v>115674000</v>
      </c>
      <c r="H577" s="20">
        <f>H576+Table1[[#This Row],[مبلغ ورود]]-Table1[[#This Row],[مبلغ خروج]]</f>
        <v>82393494212</v>
      </c>
      <c r="I577" s="216"/>
    </row>
    <row r="578" spans="1:9" ht="21">
      <c r="A578" s="217">
        <v>272</v>
      </c>
      <c r="B578" s="186" t="s">
        <v>1562</v>
      </c>
      <c r="C578" s="232"/>
      <c r="D578" s="74" t="s">
        <v>938</v>
      </c>
      <c r="E578" s="74" t="s">
        <v>1561</v>
      </c>
      <c r="F578" s="233"/>
      <c r="G578" s="20">
        <v>62922</v>
      </c>
      <c r="H578" s="20">
        <f>H577+Table1[[#This Row],[مبلغ ورود]]-Table1[[#This Row],[مبلغ خروج]]</f>
        <v>82393431290</v>
      </c>
      <c r="I578" s="216"/>
    </row>
    <row r="579" spans="1:9" ht="21">
      <c r="A579" s="217">
        <v>273</v>
      </c>
      <c r="B579" s="186" t="s">
        <v>1564</v>
      </c>
      <c r="C579" s="186"/>
      <c r="D579" s="74" t="s">
        <v>938</v>
      </c>
      <c r="E579" s="74" t="s">
        <v>1542</v>
      </c>
      <c r="F579" s="20">
        <v>30000000000</v>
      </c>
      <c r="H579" s="20">
        <f>H578+Table1[[#This Row],[مبلغ ورود]]-Table1[[#This Row],[مبلغ خروج]]</f>
        <v>112393431290</v>
      </c>
      <c r="I579" s="216"/>
    </row>
    <row r="580" spans="1:9" ht="37.5">
      <c r="A580" s="217">
        <v>274</v>
      </c>
      <c r="B580" s="186" t="s">
        <v>1565</v>
      </c>
      <c r="C580" s="235">
        <v>600595</v>
      </c>
      <c r="D580" s="74" t="s">
        <v>938</v>
      </c>
      <c r="E580" s="74" t="s">
        <v>1513</v>
      </c>
      <c r="F580" s="237"/>
      <c r="G580" s="20">
        <v>90000000000</v>
      </c>
      <c r="H580" s="20">
        <f>H579+Table1[[#This Row],[مبلغ ورود]]-Table1[[#This Row],[مبلغ خروج]]</f>
        <v>22393431290</v>
      </c>
      <c r="I580" s="216"/>
    </row>
    <row r="581" spans="1:9" ht="37.5">
      <c r="A581" s="217">
        <v>275</v>
      </c>
      <c r="B581" s="186" t="s">
        <v>1565</v>
      </c>
      <c r="C581" s="235">
        <v>600596</v>
      </c>
      <c r="D581" s="74" t="s">
        <v>938</v>
      </c>
      <c r="E581" s="222" t="s">
        <v>1572</v>
      </c>
      <c r="F581" s="237"/>
      <c r="G581" s="20">
        <v>10000000000</v>
      </c>
      <c r="H581" s="20">
        <f>H580+Table1[[#This Row],[مبلغ ورود]]-Table1[[#This Row],[مبلغ خروج]]</f>
        <v>12393431290</v>
      </c>
      <c r="I581" s="216" t="s">
        <v>1573</v>
      </c>
    </row>
    <row r="582" spans="1:9" ht="21">
      <c r="A582" s="217">
        <v>276</v>
      </c>
      <c r="B582" s="186" t="s">
        <v>1565</v>
      </c>
      <c r="C582" s="235">
        <v>600597</v>
      </c>
      <c r="D582" s="74" t="s">
        <v>938</v>
      </c>
      <c r="E582" s="151" t="s">
        <v>1566</v>
      </c>
      <c r="F582" s="237"/>
      <c r="G582" s="20">
        <v>9000000000</v>
      </c>
      <c r="H582" s="20">
        <f>H581+Table1[[#This Row],[مبلغ ورود]]-Table1[[#This Row],[مبلغ خروج]]</f>
        <v>3393431290</v>
      </c>
      <c r="I582" s="216"/>
    </row>
    <row r="583" spans="1:9" ht="21">
      <c r="A583" s="217">
        <v>277</v>
      </c>
      <c r="B583" s="186" t="s">
        <v>1567</v>
      </c>
      <c r="C583" s="235"/>
      <c r="D583" s="236"/>
      <c r="E583" s="74" t="s">
        <v>1568</v>
      </c>
      <c r="F583" s="237"/>
      <c r="G583" s="20">
        <f>250000+250000+110000</f>
        <v>610000</v>
      </c>
      <c r="H583" s="20">
        <f>H582+Table1[[#This Row],[مبلغ ورود]]-Table1[[#This Row],[مبلغ خروج]]</f>
        <v>3392821290</v>
      </c>
      <c r="I583" s="216"/>
    </row>
    <row r="584" spans="1:9" ht="21">
      <c r="A584" s="217">
        <v>278</v>
      </c>
      <c r="B584" s="186" t="s">
        <v>1567</v>
      </c>
      <c r="C584" s="235"/>
      <c r="D584" s="236"/>
      <c r="E584" s="74" t="s">
        <v>1569</v>
      </c>
      <c r="F584" s="237"/>
      <c r="G584" s="20">
        <v>11567</v>
      </c>
      <c r="H584" s="20">
        <f>H583+Table1[[#This Row],[مبلغ ورود]]-Table1[[#This Row],[مبلغ خروج]]</f>
        <v>3392809723</v>
      </c>
      <c r="I584" s="216"/>
    </row>
    <row r="585" spans="1:9" ht="56.25">
      <c r="A585" s="217">
        <v>279</v>
      </c>
      <c r="B585" s="186" t="s">
        <v>1571</v>
      </c>
      <c r="C585" s="235">
        <v>600598</v>
      </c>
      <c r="D585" s="74" t="s">
        <v>938</v>
      </c>
      <c r="E585" s="222" t="s">
        <v>1570</v>
      </c>
      <c r="F585" s="237"/>
      <c r="G585" s="20">
        <v>112341500</v>
      </c>
      <c r="H585" s="20">
        <f>H584+Table1[[#This Row],[مبلغ ورود]]-Table1[[#This Row],[مبلغ خروج]]</f>
        <v>3280468223</v>
      </c>
      <c r="I585" s="216"/>
    </row>
    <row r="586" spans="1:9" ht="21">
      <c r="A586" s="1"/>
      <c r="B586" s="186" t="s">
        <v>1585</v>
      </c>
      <c r="C586" s="1"/>
      <c r="E586" s="238" t="s">
        <v>1584</v>
      </c>
      <c r="G586" s="20">
        <v>20000</v>
      </c>
      <c r="H586" s="20">
        <f>H585+Table1[[#This Row],[مبلغ ورود]]-Table1[[#This Row],[مبلغ خروج]]</f>
        <v>3280448223</v>
      </c>
      <c r="I586" s="216"/>
    </row>
    <row r="587" spans="1:9" ht="37.5">
      <c r="A587" s="1">
        <v>280</v>
      </c>
      <c r="B587" s="186" t="s">
        <v>1574</v>
      </c>
      <c r="C587" s="1"/>
      <c r="D587" s="74" t="s">
        <v>938</v>
      </c>
      <c r="E587" s="222" t="s">
        <v>1575</v>
      </c>
      <c r="F587" s="20">
        <v>34332000</v>
      </c>
      <c r="H587" s="20">
        <f>H586+Table1[[#This Row],[مبلغ ورود]]-Table1[[#This Row],[مبلغ خروج]]</f>
        <v>3314780223</v>
      </c>
      <c r="I587" s="216"/>
    </row>
    <row r="588" spans="1:9" ht="37.5">
      <c r="A588" s="1">
        <v>281</v>
      </c>
      <c r="B588" s="186" t="s">
        <v>1576</v>
      </c>
      <c r="C588" s="1">
        <v>600599</v>
      </c>
      <c r="D588" s="74" t="s">
        <v>938</v>
      </c>
      <c r="E588" s="222" t="s">
        <v>1580</v>
      </c>
      <c r="G588" s="20">
        <v>400000000</v>
      </c>
      <c r="H588" s="20">
        <f>H587+Table1[[#This Row],[مبلغ ورود]]-Table1[[#This Row],[مبلغ خروج]]</f>
        <v>2914780223</v>
      </c>
      <c r="I588" s="216"/>
    </row>
    <row r="589" spans="1:9" ht="37.5">
      <c r="A589" s="1">
        <v>282</v>
      </c>
      <c r="B589" s="186" t="s">
        <v>1576</v>
      </c>
      <c r="C589" s="1">
        <v>600600</v>
      </c>
      <c r="D589" s="74" t="s">
        <v>938</v>
      </c>
      <c r="E589" s="222" t="s">
        <v>1577</v>
      </c>
      <c r="G589" s="20">
        <v>30430000</v>
      </c>
      <c r="H589" s="20">
        <f>H588+Table1[[#This Row],[مبلغ ورود]]-Table1[[#This Row],[مبلغ خروج]]</f>
        <v>2884350223</v>
      </c>
      <c r="I589" s="216"/>
    </row>
    <row r="590" spans="1:9" ht="56.25">
      <c r="A590" s="1">
        <v>283</v>
      </c>
      <c r="B590" s="186" t="s">
        <v>1576</v>
      </c>
      <c r="C590" s="1">
        <v>153001</v>
      </c>
      <c r="D590" s="74" t="s">
        <v>938</v>
      </c>
      <c r="E590" s="222" t="s">
        <v>1578</v>
      </c>
      <c r="F590" s="20"/>
      <c r="G590" s="20">
        <v>995052000</v>
      </c>
      <c r="H590" s="20">
        <f>H589+Table1[[#This Row],[مبلغ ورود]]-Table1[[#This Row],[مبلغ خروج]]</f>
        <v>1889298223</v>
      </c>
      <c r="I590" s="216"/>
    </row>
    <row r="591" spans="1:9" ht="37.5">
      <c r="A591" s="1">
        <v>284</v>
      </c>
      <c r="B591" s="186" t="s">
        <v>1576</v>
      </c>
      <c r="C591" s="1">
        <v>153002</v>
      </c>
      <c r="D591" s="74" t="s">
        <v>938</v>
      </c>
      <c r="E591" s="222" t="s">
        <v>1579</v>
      </c>
      <c r="F591" s="20"/>
      <c r="G591" s="20">
        <v>134161561</v>
      </c>
      <c r="H591" s="20">
        <f>H590+Table1[[#This Row],[مبلغ ورود]]-Table1[[#This Row],[مبلغ خروج]]</f>
        <v>1755136662</v>
      </c>
      <c r="I591" s="216"/>
    </row>
    <row r="592" spans="1:9" ht="21">
      <c r="A592" s="1"/>
      <c r="B592" s="186" t="s">
        <v>1581</v>
      </c>
      <c r="C592" s="1"/>
      <c r="E592" s="222" t="s">
        <v>1583</v>
      </c>
      <c r="F592" s="20">
        <v>50000000000</v>
      </c>
      <c r="H592" s="20">
        <f>H591+Table1[[#This Row],[مبلغ ورود]]-Table1[[#This Row],[مبلغ خروج]]</f>
        <v>51755136662</v>
      </c>
      <c r="I592" s="216"/>
    </row>
    <row r="593" spans="1:9" ht="56.25">
      <c r="A593" s="1">
        <v>285</v>
      </c>
      <c r="B593" s="186" t="s">
        <v>1581</v>
      </c>
      <c r="C593" s="1">
        <v>153003</v>
      </c>
      <c r="D593" s="74" t="s">
        <v>938</v>
      </c>
      <c r="E593" s="222" t="s">
        <v>1582</v>
      </c>
      <c r="F593" s="20"/>
      <c r="G593" s="20">
        <v>114558660</v>
      </c>
      <c r="H593" s="20">
        <f>H592+Table1[[#This Row],[مبلغ ورود]]-Table1[[#This Row],[مبلغ خروج]]</f>
        <v>51640578002</v>
      </c>
      <c r="I593" s="216"/>
    </row>
    <row r="594" spans="1:9" ht="37.5">
      <c r="A594" s="1">
        <v>286</v>
      </c>
      <c r="B594" s="186" t="s">
        <v>1587</v>
      </c>
      <c r="C594" s="1">
        <v>153004</v>
      </c>
      <c r="D594" s="74" t="s">
        <v>938</v>
      </c>
      <c r="E594" s="222" t="s">
        <v>1586</v>
      </c>
      <c r="F594" s="222"/>
      <c r="G594" s="20">
        <v>50000000000</v>
      </c>
      <c r="H594" s="20">
        <f>H593+Table1[[#This Row],[مبلغ ورود]]-Table1[[#This Row],[مبلغ خروج]]</f>
        <v>1640578002</v>
      </c>
      <c r="I594" s="216"/>
    </row>
    <row r="595" spans="1:9" ht="21">
      <c r="A595" s="1">
        <v>287</v>
      </c>
      <c r="B595" s="186" t="s">
        <v>1587</v>
      </c>
      <c r="C595" s="1"/>
      <c r="D595" s="74"/>
      <c r="E595" s="222" t="s">
        <v>1588</v>
      </c>
      <c r="G595" s="20">
        <f>199010+250000</f>
        <v>449010</v>
      </c>
      <c r="H595" s="20">
        <f>H594+Table1[[#This Row],[مبلغ ورود]]-Table1[[#This Row],[مبلغ خروج]]</f>
        <v>1640128992</v>
      </c>
      <c r="I595" s="216"/>
    </row>
    <row r="596" spans="1:9" ht="37.5">
      <c r="A596" s="1">
        <v>288</v>
      </c>
      <c r="B596" s="186" t="s">
        <v>1590</v>
      </c>
      <c r="C596" s="1">
        <v>153005</v>
      </c>
      <c r="D596" s="74" t="s">
        <v>938</v>
      </c>
      <c r="E596" s="74" t="s">
        <v>1591</v>
      </c>
      <c r="F596" s="222"/>
      <c r="G596" s="20">
        <v>525542527</v>
      </c>
      <c r="H596" s="20">
        <f>H595+Table1[[#This Row],[مبلغ ورود]]-Table1[[#This Row],[مبلغ خروج]]</f>
        <v>1114586465</v>
      </c>
      <c r="I596" s="216"/>
    </row>
    <row r="597" spans="1:9" ht="37.5">
      <c r="A597" s="1">
        <v>289</v>
      </c>
      <c r="B597" s="186" t="s">
        <v>1590</v>
      </c>
      <c r="C597" s="1">
        <v>153006</v>
      </c>
      <c r="D597" s="74" t="s">
        <v>938</v>
      </c>
      <c r="E597" s="151" t="s">
        <v>1589</v>
      </c>
      <c r="G597" s="20">
        <v>3000000000</v>
      </c>
      <c r="H597" s="20">
        <f>H596+Table1[[#This Row],[مبلغ ورود]]-Table1[[#This Row],[مبلغ خروج]]</f>
        <v>-1885413535</v>
      </c>
      <c r="I597" s="216"/>
    </row>
    <row r="598" spans="1:9" ht="37.5">
      <c r="A598" s="1">
        <v>290</v>
      </c>
      <c r="B598" s="186" t="s">
        <v>1590</v>
      </c>
      <c r="C598" s="1">
        <v>153007</v>
      </c>
      <c r="D598" s="74" t="s">
        <v>938</v>
      </c>
      <c r="E598" s="74" t="s">
        <v>1592</v>
      </c>
      <c r="G598" s="20">
        <v>417959722</v>
      </c>
      <c r="H598" s="20">
        <f>H597+Table1[[#This Row],[مبلغ ورود]]-Table1[[#This Row],[مبلغ خروج]]</f>
        <v>-2303373257</v>
      </c>
      <c r="I598" s="216"/>
    </row>
    <row r="599" spans="1:9" ht="37.5">
      <c r="A599" s="1">
        <v>291</v>
      </c>
      <c r="B599" s="186" t="s">
        <v>1590</v>
      </c>
      <c r="C599" s="1">
        <v>153008</v>
      </c>
      <c r="D599" s="74" t="s">
        <v>938</v>
      </c>
      <c r="E599" s="74" t="s">
        <v>1593</v>
      </c>
      <c r="G599" s="20">
        <v>5000000000</v>
      </c>
      <c r="H599" s="20">
        <f>H598+Table1[[#This Row],[مبلغ ورود]]-Table1[[#This Row],[مبلغ خروج]]</f>
        <v>-7303373257</v>
      </c>
      <c r="I599" s="216"/>
    </row>
    <row r="600" spans="1:9" ht="37.5">
      <c r="A600" s="1">
        <v>292</v>
      </c>
      <c r="B600" s="186" t="s">
        <v>1590</v>
      </c>
      <c r="C600" s="1"/>
      <c r="D600" s="74" t="s">
        <v>938</v>
      </c>
      <c r="E600" s="74" t="s">
        <v>1594</v>
      </c>
      <c r="F600" s="20">
        <v>10000000000</v>
      </c>
      <c r="H600" s="20">
        <f>H599+Table1[[#This Row],[مبلغ ورود]]-Table1[[#This Row],[مبلغ خروج]]</f>
        <v>2696626743</v>
      </c>
      <c r="I600" s="216"/>
    </row>
    <row r="601" spans="1:9" ht="21">
      <c r="A601" s="1">
        <v>293</v>
      </c>
      <c r="B601" s="186" t="s">
        <v>1595</v>
      </c>
      <c r="C601" s="1"/>
      <c r="D601" s="74" t="s">
        <v>938</v>
      </c>
      <c r="E601" s="74" t="s">
        <v>1596</v>
      </c>
      <c r="F601" s="20">
        <v>1214985</v>
      </c>
      <c r="H601" s="20">
        <f>H600+Table1[[#This Row],[مبلغ ورود]]-Table1[[#This Row],[مبلغ خروج]]</f>
        <v>2697841728</v>
      </c>
      <c r="I601" s="216"/>
    </row>
    <row r="602" spans="1:9" ht="21">
      <c r="A602" s="1">
        <v>294</v>
      </c>
      <c r="B602" s="186" t="s">
        <v>1595</v>
      </c>
      <c r="C602" s="1"/>
      <c r="D602" s="74" t="s">
        <v>938</v>
      </c>
      <c r="E602" s="74" t="s">
        <v>1569</v>
      </c>
      <c r="F602" s="20"/>
      <c r="G602" s="20">
        <v>3043</v>
      </c>
      <c r="H602" s="20">
        <f>H601+Table1[[#This Row],[مبلغ ورود]]-Table1[[#This Row],[مبلغ خروج]]</f>
        <v>2697838685</v>
      </c>
      <c r="I602" s="216"/>
    </row>
    <row r="603" spans="1:9" ht="21">
      <c r="A603" s="1">
        <v>295</v>
      </c>
      <c r="B603" s="186" t="s">
        <v>1595</v>
      </c>
      <c r="C603" s="1"/>
      <c r="D603" s="74" t="s">
        <v>938</v>
      </c>
      <c r="E603" s="74" t="s">
        <v>1597</v>
      </c>
      <c r="F603" s="20">
        <v>85100000</v>
      </c>
      <c r="H603" s="20">
        <f>H602+Table1[[#This Row],[مبلغ ورود]]-Table1[[#This Row],[مبلغ خروج]]</f>
        <v>2782938685</v>
      </c>
      <c r="I603" s="216"/>
    </row>
    <row r="604" spans="1:9" ht="21">
      <c r="A604" s="1">
        <v>296</v>
      </c>
      <c r="B604" s="186" t="s">
        <v>1595</v>
      </c>
      <c r="C604" s="1"/>
      <c r="D604" s="74" t="s">
        <v>938</v>
      </c>
      <c r="E604" s="74" t="s">
        <v>1597</v>
      </c>
      <c r="F604" s="20">
        <v>102427522</v>
      </c>
      <c r="H604" s="20">
        <f>H603+Table1[[#This Row],[مبلغ ورود]]-Table1[[#This Row],[مبلغ خروج]]</f>
        <v>2885366207</v>
      </c>
      <c r="I604" s="216"/>
    </row>
    <row r="605" spans="1:9" ht="21">
      <c r="A605" s="1">
        <v>297</v>
      </c>
      <c r="B605" s="186" t="s">
        <v>1595</v>
      </c>
      <c r="C605" s="239"/>
      <c r="D605" s="74" t="s">
        <v>938</v>
      </c>
      <c r="E605" s="74" t="s">
        <v>1612</v>
      </c>
      <c r="F605" s="240"/>
      <c r="G605" s="20">
        <v>24000</v>
      </c>
      <c r="H605" s="20">
        <f>H604+Table1[[#This Row],[مبلغ ورود]]-Table1[[#This Row],[مبلغ خروج]]</f>
        <v>2885342207</v>
      </c>
      <c r="I605" s="216"/>
    </row>
    <row r="606" spans="1:9" ht="21">
      <c r="A606" s="1">
        <v>298</v>
      </c>
      <c r="B606" s="186" t="s">
        <v>1595</v>
      </c>
      <c r="C606" s="239"/>
      <c r="D606" s="74" t="s">
        <v>938</v>
      </c>
      <c r="E606" s="74" t="s">
        <v>1613</v>
      </c>
      <c r="F606" s="240"/>
      <c r="G606" s="20">
        <v>60000</v>
      </c>
      <c r="H606" s="20">
        <f>H605+Table1[[#This Row],[مبلغ ورود]]-Table1[[#This Row],[مبلغ خروج]]</f>
        <v>2885282207</v>
      </c>
      <c r="I606" s="216"/>
    </row>
    <row r="607" spans="1:9" ht="21">
      <c r="A607" s="1">
        <v>299</v>
      </c>
      <c r="B607" s="186" t="s">
        <v>1598</v>
      </c>
      <c r="C607" s="1"/>
      <c r="D607" s="74" t="s">
        <v>938</v>
      </c>
      <c r="E607" s="74" t="s">
        <v>1611</v>
      </c>
      <c r="F607" s="20">
        <v>100000000000</v>
      </c>
      <c r="H607" s="20">
        <f>H606+Table1[[#This Row],[مبلغ ورود]]-Table1[[#This Row],[مبلغ خروج]]</f>
        <v>102885282207</v>
      </c>
      <c r="I607" s="216"/>
    </row>
    <row r="608" spans="1:9" ht="37.5">
      <c r="A608" s="1">
        <v>300</v>
      </c>
      <c r="B608" s="186" t="s">
        <v>1598</v>
      </c>
      <c r="C608" s="1">
        <v>153009</v>
      </c>
      <c r="D608" s="74" t="s">
        <v>938</v>
      </c>
      <c r="E608" s="74" t="s">
        <v>1539</v>
      </c>
      <c r="G608" s="20">
        <v>60000000000</v>
      </c>
      <c r="H608" s="20">
        <f>H607+Table1[[#This Row],[مبلغ ورود]]-Table1[[#This Row],[مبلغ خروج]]</f>
        <v>42885282207</v>
      </c>
      <c r="I608" s="216"/>
    </row>
    <row r="609" spans="1:9" ht="56.25">
      <c r="A609" s="1">
        <v>301</v>
      </c>
      <c r="B609" s="186" t="s">
        <v>1598</v>
      </c>
      <c r="C609" s="1">
        <v>153010</v>
      </c>
      <c r="D609" s="74" t="s">
        <v>938</v>
      </c>
      <c r="E609" s="74" t="s">
        <v>1599</v>
      </c>
      <c r="G609" s="20">
        <v>20553678000</v>
      </c>
      <c r="H609" s="20">
        <f>H608+Table1[[#This Row],[مبلغ ورود]]-Table1[[#This Row],[مبلغ خروج]]</f>
        <v>22331604207</v>
      </c>
      <c r="I609" s="216"/>
    </row>
    <row r="610" spans="1:9" ht="37.5">
      <c r="A610" s="1">
        <v>302</v>
      </c>
      <c r="B610" s="186" t="s">
        <v>1598</v>
      </c>
      <c r="C610" s="1">
        <v>153011</v>
      </c>
      <c r="D610" s="74" t="s">
        <v>938</v>
      </c>
      <c r="E610" s="74" t="s">
        <v>1600</v>
      </c>
      <c r="G610" s="20">
        <v>12985328006</v>
      </c>
      <c r="H610" s="20">
        <f>H609+Table1[[#This Row],[مبلغ ورود]]-Table1[[#This Row],[مبلغ خروج]]</f>
        <v>9346276201</v>
      </c>
      <c r="I610" s="216"/>
    </row>
    <row r="611" spans="1:9" ht="37.5">
      <c r="A611" s="1">
        <v>303</v>
      </c>
      <c r="B611" s="186" t="s">
        <v>1598</v>
      </c>
      <c r="C611" s="1">
        <v>153012</v>
      </c>
      <c r="D611" s="74" t="s">
        <v>938</v>
      </c>
      <c r="E611" s="74" t="s">
        <v>1601</v>
      </c>
      <c r="G611" s="20">
        <v>134685000</v>
      </c>
      <c r="H611" s="20">
        <f>H610+Table1[[#This Row],[مبلغ ورود]]-Table1[[#This Row],[مبلغ خروج]]</f>
        <v>9211591201</v>
      </c>
      <c r="I611" s="216"/>
    </row>
    <row r="612" spans="1:9" ht="21">
      <c r="A612" s="1">
        <v>304</v>
      </c>
      <c r="B612" s="186" t="s">
        <v>1598</v>
      </c>
      <c r="C612" s="239"/>
      <c r="D612" s="74" t="s">
        <v>938</v>
      </c>
      <c r="E612" s="74" t="s">
        <v>1584</v>
      </c>
      <c r="F612" s="240"/>
      <c r="G612" s="20">
        <v>250000</v>
      </c>
      <c r="H612" s="20">
        <f>H611+Table1[[#This Row],[مبلغ ورود]]-Table1[[#This Row],[مبلغ خروج]]</f>
        <v>9211341201</v>
      </c>
      <c r="I612" s="216"/>
    </row>
    <row r="613" spans="1:9" ht="21">
      <c r="A613" s="1">
        <v>305</v>
      </c>
      <c r="B613" s="186" t="s">
        <v>1598</v>
      </c>
      <c r="C613" s="239"/>
      <c r="D613" s="74" t="s">
        <v>938</v>
      </c>
      <c r="E613" s="74" t="s">
        <v>1616</v>
      </c>
      <c r="F613" s="240"/>
      <c r="G613" s="20">
        <v>13468</v>
      </c>
      <c r="H613" s="20">
        <f>H612+Table1[[#This Row],[مبلغ ورود]]-Table1[[#This Row],[مبلغ خروج]]</f>
        <v>9211327733</v>
      </c>
      <c r="I613" s="216"/>
    </row>
    <row r="614" spans="1:9" ht="21">
      <c r="A614" s="1">
        <v>306</v>
      </c>
      <c r="B614" s="186" t="s">
        <v>1602</v>
      </c>
      <c r="C614" s="232">
        <v>153013</v>
      </c>
      <c r="D614" s="74" t="s">
        <v>938</v>
      </c>
      <c r="E614" s="74" t="s">
        <v>1604</v>
      </c>
      <c r="F614" s="233"/>
      <c r="H614" s="20">
        <f>H613+Table1[[#This Row],[مبلغ ورود]]-Table1[[#This Row],[مبلغ خروج]]</f>
        <v>9211327733</v>
      </c>
      <c r="I614" s="216"/>
    </row>
    <row r="615" spans="1:9" ht="21">
      <c r="A615" s="1">
        <v>307</v>
      </c>
      <c r="B615" s="186" t="s">
        <v>1602</v>
      </c>
      <c r="C615" s="232">
        <v>153014</v>
      </c>
      <c r="D615" s="74" t="s">
        <v>938</v>
      </c>
      <c r="E615" s="74" t="s">
        <v>1604</v>
      </c>
      <c r="F615" s="233"/>
      <c r="H615" s="20">
        <f>H614+Table1[[#This Row],[مبلغ ورود]]-Table1[[#This Row],[مبلغ خروج]]</f>
        <v>9211327733</v>
      </c>
      <c r="I615" s="216"/>
    </row>
    <row r="616" spans="1:9" ht="37.5">
      <c r="A616" s="1">
        <v>308</v>
      </c>
      <c r="B616" s="186" t="s">
        <v>1602</v>
      </c>
      <c r="C616" s="232">
        <v>153015</v>
      </c>
      <c r="D616" s="74" t="s">
        <v>938</v>
      </c>
      <c r="E616" s="74" t="s">
        <v>1603</v>
      </c>
      <c r="F616" s="240"/>
      <c r="G616" s="20">
        <v>18900000</v>
      </c>
      <c r="H616" s="20">
        <f>H615+Table1[[#This Row],[مبلغ ورود]]-Table1[[#This Row],[مبلغ خروج]]</f>
        <v>9192427733</v>
      </c>
      <c r="I616" s="216"/>
    </row>
    <row r="617" spans="1:9" ht="56.25">
      <c r="A617" s="1">
        <v>309</v>
      </c>
      <c r="B617" s="186" t="s">
        <v>1602</v>
      </c>
      <c r="C617" s="232">
        <v>153016</v>
      </c>
      <c r="D617" s="74" t="s">
        <v>938</v>
      </c>
      <c r="E617" s="74" t="s">
        <v>1605</v>
      </c>
      <c r="F617" s="240"/>
      <c r="G617" s="20">
        <v>126083801</v>
      </c>
      <c r="H617" s="20">
        <f>H616+Table1[[#This Row],[مبلغ ورود]]-Table1[[#This Row],[مبلغ خروج]]</f>
        <v>9066343932</v>
      </c>
      <c r="I617" s="216"/>
    </row>
    <row r="618" spans="1:9" ht="37.5">
      <c r="A618" s="1">
        <v>310</v>
      </c>
      <c r="B618" s="186" t="s">
        <v>1602</v>
      </c>
      <c r="C618" s="232">
        <v>153017</v>
      </c>
      <c r="D618" s="74" t="s">
        <v>938</v>
      </c>
      <c r="E618" s="74" t="s">
        <v>1606</v>
      </c>
      <c r="F618" s="240"/>
      <c r="G618" s="20">
        <v>425000000</v>
      </c>
      <c r="H618" s="20">
        <f>H617+Table1[[#This Row],[مبلغ ورود]]-Table1[[#This Row],[مبلغ خروج]]</f>
        <v>8641343932</v>
      </c>
      <c r="I618" s="216"/>
    </row>
    <row r="619" spans="1:9" ht="37.5">
      <c r="A619" s="1">
        <v>311</v>
      </c>
      <c r="B619" s="186" t="s">
        <v>1602</v>
      </c>
      <c r="C619" s="232">
        <v>153018</v>
      </c>
      <c r="D619" s="74" t="s">
        <v>938</v>
      </c>
      <c r="E619" s="74" t="s">
        <v>1607</v>
      </c>
      <c r="F619" s="240"/>
      <c r="G619" s="20">
        <v>430000000</v>
      </c>
      <c r="H619" s="20">
        <f>H618+Table1[[#This Row],[مبلغ ورود]]-Table1[[#This Row],[مبلغ خروج]]</f>
        <v>8211343932</v>
      </c>
      <c r="I619" s="216"/>
    </row>
    <row r="620" spans="1:9" ht="56.25">
      <c r="A620" s="1">
        <v>312</v>
      </c>
      <c r="B620" s="186" t="s">
        <v>1608</v>
      </c>
      <c r="C620" s="232">
        <v>153019</v>
      </c>
      <c r="D620" s="74" t="s">
        <v>938</v>
      </c>
      <c r="E620" s="74" t="s">
        <v>1609</v>
      </c>
      <c r="F620" s="240"/>
      <c r="G620" s="20">
        <v>1500000000</v>
      </c>
      <c r="H620" s="20">
        <f>H619+Table1[[#This Row],[مبلغ ورود]]-Table1[[#This Row],[مبلغ خروج]]</f>
        <v>6711343932</v>
      </c>
      <c r="I620" s="216"/>
    </row>
    <row r="621" spans="1:9" ht="56.25">
      <c r="A621" s="1">
        <v>313</v>
      </c>
      <c r="B621" s="186" t="s">
        <v>1608</v>
      </c>
      <c r="C621" s="232">
        <v>153020</v>
      </c>
      <c r="D621" s="74" t="s">
        <v>938</v>
      </c>
      <c r="E621" s="74" t="s">
        <v>1610</v>
      </c>
      <c r="F621" s="240"/>
      <c r="G621" s="20">
        <v>123999424</v>
      </c>
      <c r="H621" s="20">
        <f>H620+Table1[[#This Row],[مبلغ ورود]]-Table1[[#This Row],[مبلغ خروج]]</f>
        <v>6587344508</v>
      </c>
      <c r="I621" s="216"/>
    </row>
    <row r="622" spans="1:9" ht="21">
      <c r="A622" s="1">
        <v>314</v>
      </c>
      <c r="B622" s="186" t="s">
        <v>1608</v>
      </c>
      <c r="C622" s="239"/>
      <c r="D622" s="74" t="s">
        <v>938</v>
      </c>
      <c r="E622" s="74" t="s">
        <v>1611</v>
      </c>
      <c r="F622" s="20">
        <v>75000000000</v>
      </c>
      <c r="H622" s="20">
        <f>H621+Table1[[#This Row],[مبلغ ورود]]-Table1[[#This Row],[مبلغ خروج]]</f>
        <v>81587344508</v>
      </c>
      <c r="I622" s="216"/>
    </row>
    <row r="623" spans="1:9" ht="21">
      <c r="A623" s="1">
        <v>315</v>
      </c>
      <c r="B623" s="186" t="s">
        <v>1608</v>
      </c>
      <c r="C623" s="1"/>
      <c r="D623" s="74" t="s">
        <v>938</v>
      </c>
      <c r="E623" s="74" t="s">
        <v>1614</v>
      </c>
      <c r="F623" s="20"/>
      <c r="G623" s="20">
        <f>86000+86000</f>
        <v>172000</v>
      </c>
      <c r="H623" s="20">
        <f>H622+Table1[[#This Row],[مبلغ ورود]]-Table1[[#This Row],[مبلغ خروج]]</f>
        <v>81587172508</v>
      </c>
      <c r="I623" s="216"/>
    </row>
    <row r="624" spans="1:9" ht="21">
      <c r="A624" s="1">
        <v>316</v>
      </c>
      <c r="B624" s="186" t="s">
        <v>1608</v>
      </c>
      <c r="C624" s="1"/>
      <c r="D624" s="74" t="s">
        <v>938</v>
      </c>
      <c r="E624" s="74" t="s">
        <v>1615</v>
      </c>
      <c r="F624" s="20">
        <v>86000</v>
      </c>
      <c r="H624" s="20">
        <f>H623+Table1[[#This Row],[مبلغ ورود]]-Table1[[#This Row],[مبلغ خروج]]</f>
        <v>81587258508</v>
      </c>
      <c r="I624" s="216"/>
    </row>
    <row r="625" spans="1:9" ht="21">
      <c r="A625" s="1"/>
      <c r="B625" s="186" t="s">
        <v>1617</v>
      </c>
      <c r="C625" s="1"/>
      <c r="D625" s="74" t="s">
        <v>938</v>
      </c>
      <c r="E625" s="74" t="s">
        <v>1611</v>
      </c>
      <c r="F625" s="73">
        <v>80000000000</v>
      </c>
      <c r="H625" s="20">
        <f>H624+Table1[[#This Row],[مبلغ ورود]]-Table1[[#This Row],[مبلغ خروج]]</f>
        <v>161587258508</v>
      </c>
      <c r="I625" s="216"/>
    </row>
    <row r="626" spans="1:9" ht="21">
      <c r="A626" s="1"/>
      <c r="B626" s="186" t="s">
        <v>1617</v>
      </c>
      <c r="C626" s="1"/>
      <c r="D626" s="74" t="s">
        <v>938</v>
      </c>
      <c r="E626" s="74" t="s">
        <v>1625</v>
      </c>
      <c r="F626" s="20">
        <v>1267534049</v>
      </c>
      <c r="H626" s="20">
        <f>H625+Table1[[#This Row],[مبلغ ورود]]-Table1[[#This Row],[مبلغ خروج]]</f>
        <v>162854792557</v>
      </c>
      <c r="I626" s="216"/>
    </row>
    <row r="627" spans="1:9" ht="37.5">
      <c r="A627" s="1">
        <v>317</v>
      </c>
      <c r="B627" s="186" t="s">
        <v>1617</v>
      </c>
      <c r="C627" s="1">
        <v>153021</v>
      </c>
      <c r="D627" s="74" t="s">
        <v>938</v>
      </c>
      <c r="E627" s="74" t="s">
        <v>1618</v>
      </c>
      <c r="F627" s="20"/>
      <c r="G627" s="20">
        <v>656730000</v>
      </c>
      <c r="H627" s="20">
        <f>H626+Table1[[#This Row],[مبلغ ورود]]-Table1[[#This Row],[مبلغ خروج]]</f>
        <v>162198062557</v>
      </c>
      <c r="I627" s="216"/>
    </row>
    <row r="628" spans="1:9" ht="37.5">
      <c r="A628" s="1">
        <v>318</v>
      </c>
      <c r="B628" s="186" t="s">
        <v>1617</v>
      </c>
      <c r="C628" s="1">
        <v>153022</v>
      </c>
      <c r="D628" s="74" t="s">
        <v>938</v>
      </c>
      <c r="E628" s="74" t="s">
        <v>1619</v>
      </c>
      <c r="F628" s="20"/>
      <c r="G628" s="20">
        <v>156000000</v>
      </c>
      <c r="H628" s="20">
        <f>H627+Table1[[#This Row],[مبلغ ورود]]-Table1[[#This Row],[مبلغ خروج]]</f>
        <v>162042062557</v>
      </c>
      <c r="I628" s="216"/>
    </row>
    <row r="629" spans="1:9" ht="56.25">
      <c r="A629" s="1">
        <v>319</v>
      </c>
      <c r="B629" s="186" t="s">
        <v>1617</v>
      </c>
      <c r="C629" s="1">
        <v>153023</v>
      </c>
      <c r="D629" s="74" t="s">
        <v>938</v>
      </c>
      <c r="E629" s="74" t="s">
        <v>1620</v>
      </c>
      <c r="F629" s="20"/>
      <c r="G629" s="20">
        <v>2292647058</v>
      </c>
      <c r="H629" s="20">
        <f>H628+Table1[[#This Row],[مبلغ ورود]]-Table1[[#This Row],[مبلغ خروج]]</f>
        <v>159749415499</v>
      </c>
      <c r="I629" s="216"/>
    </row>
    <row r="630" spans="1:9" ht="37.5">
      <c r="A630" s="1">
        <v>320</v>
      </c>
      <c r="B630" s="186" t="s">
        <v>1617</v>
      </c>
      <c r="C630" s="1">
        <v>153024</v>
      </c>
      <c r="D630" s="74" t="s">
        <v>938</v>
      </c>
      <c r="E630" s="74" t="s">
        <v>1539</v>
      </c>
      <c r="F630" s="20"/>
      <c r="G630" s="20">
        <v>60000000000</v>
      </c>
      <c r="H630" s="20">
        <f>H629+Table1[[#This Row],[مبلغ ورود]]-Table1[[#This Row],[مبلغ خروج]]</f>
        <v>99749415499</v>
      </c>
      <c r="I630" s="216"/>
    </row>
    <row r="631" spans="1:9" ht="37.5">
      <c r="A631" s="1">
        <v>321</v>
      </c>
      <c r="B631" s="186" t="s">
        <v>1617</v>
      </c>
      <c r="C631" s="1">
        <v>153025</v>
      </c>
      <c r="D631" s="74" t="s">
        <v>938</v>
      </c>
      <c r="E631" s="74" t="s">
        <v>1622</v>
      </c>
      <c r="F631" s="20"/>
      <c r="G631" s="20">
        <v>1000000000</v>
      </c>
      <c r="H631" s="20">
        <f>H630+Table1[[#This Row],[مبلغ ورود]]-Table1[[#This Row],[مبلغ خروج]]</f>
        <v>98749415499</v>
      </c>
      <c r="I631" s="216"/>
    </row>
    <row r="632" spans="1:9" ht="37.5">
      <c r="A632" s="1">
        <v>322</v>
      </c>
      <c r="B632" s="186" t="s">
        <v>1617</v>
      </c>
      <c r="C632" s="1">
        <v>153026</v>
      </c>
      <c r="D632" s="74" t="s">
        <v>938</v>
      </c>
      <c r="E632" s="74" t="s">
        <v>1621</v>
      </c>
      <c r="F632" s="20"/>
      <c r="G632" s="20">
        <v>30000000000</v>
      </c>
      <c r="H632" s="20">
        <f>H631+Table1[[#This Row],[مبلغ ورود]]-Table1[[#This Row],[مبلغ خروج]]</f>
        <v>68749415499</v>
      </c>
      <c r="I632" s="216"/>
    </row>
    <row r="633" spans="1:9" ht="56.25">
      <c r="A633" s="1">
        <v>323</v>
      </c>
      <c r="B633" s="186" t="s">
        <v>1617</v>
      </c>
      <c r="C633" s="1">
        <v>153027</v>
      </c>
      <c r="D633" s="74" t="s">
        <v>938</v>
      </c>
      <c r="E633" s="74" t="s">
        <v>1623</v>
      </c>
      <c r="F633" s="20"/>
      <c r="G633" s="20">
        <v>59250000</v>
      </c>
      <c r="H633" s="20">
        <f>H632+Table1[[#This Row],[مبلغ ورود]]-Table1[[#This Row],[مبلغ خروج]]</f>
        <v>68690165499</v>
      </c>
      <c r="I633" s="216"/>
    </row>
    <row r="634" spans="1:9" ht="56.25">
      <c r="A634" s="1">
        <v>324</v>
      </c>
      <c r="B634" s="186" t="s">
        <v>1617</v>
      </c>
      <c r="C634" s="1">
        <v>153028</v>
      </c>
      <c r="D634" s="74" t="s">
        <v>938</v>
      </c>
      <c r="E634" s="74" t="s">
        <v>1624</v>
      </c>
      <c r="F634" s="20"/>
      <c r="G634" s="20">
        <v>525499902</v>
      </c>
      <c r="H634" s="20">
        <f>H633+Table1[[#This Row],[مبلغ ورود]]-Table1[[#This Row],[مبلغ خروج]]</f>
        <v>68164665597</v>
      </c>
      <c r="I634" s="216"/>
    </row>
    <row r="635" spans="1:9" ht="56.25">
      <c r="A635" s="241">
        <v>325</v>
      </c>
      <c r="B635" s="186" t="s">
        <v>1617</v>
      </c>
      <c r="C635" s="241">
        <v>153029</v>
      </c>
      <c r="D635" s="74" t="s">
        <v>938</v>
      </c>
      <c r="E635" s="74" t="s">
        <v>1626</v>
      </c>
      <c r="F635" s="242"/>
      <c r="G635" s="20">
        <v>6446834</v>
      </c>
      <c r="H635" s="20">
        <f>H634+Table1[[#This Row],[مبلغ ورود]]-Table1[[#This Row],[مبلغ خروج]]</f>
        <v>68158218763</v>
      </c>
      <c r="I635" s="216"/>
    </row>
    <row r="636" spans="1:9" ht="37.5">
      <c r="A636" s="241">
        <v>326</v>
      </c>
      <c r="B636" s="186" t="s">
        <v>1617</v>
      </c>
      <c r="C636" s="241">
        <v>153030</v>
      </c>
      <c r="D636" s="74" t="s">
        <v>938</v>
      </c>
      <c r="E636" s="74" t="s">
        <v>1627</v>
      </c>
      <c r="F636" s="242"/>
      <c r="G636" s="20">
        <v>28086205</v>
      </c>
      <c r="H636" s="20">
        <f>H635+Table1[[#This Row],[مبلغ ورود]]-Table1[[#This Row],[مبلغ خروج]]</f>
        <v>68130132558</v>
      </c>
      <c r="I636" s="216"/>
    </row>
    <row r="637" spans="1:9" ht="37.5">
      <c r="A637" s="241">
        <v>327</v>
      </c>
      <c r="B637" s="186" t="s">
        <v>1628</v>
      </c>
      <c r="C637" s="241">
        <v>153031</v>
      </c>
      <c r="D637" s="74" t="s">
        <v>938</v>
      </c>
      <c r="E637" s="74" t="s">
        <v>1629</v>
      </c>
      <c r="F637" s="242"/>
      <c r="G637" s="20">
        <v>18817150000</v>
      </c>
      <c r="H637" s="20">
        <f>H636+Table1[[#This Row],[مبلغ ورود]]-Table1[[#This Row],[مبلغ خروج]]</f>
        <v>49312982558</v>
      </c>
      <c r="I637" s="216"/>
    </row>
    <row r="638" spans="1:9" ht="21">
      <c r="A638" s="1">
        <v>328</v>
      </c>
      <c r="B638" s="186" t="s">
        <v>1628</v>
      </c>
      <c r="C638" s="1">
        <v>153032</v>
      </c>
      <c r="D638" s="74" t="s">
        <v>938</v>
      </c>
      <c r="E638" s="222" t="s">
        <v>1604</v>
      </c>
      <c r="H638" s="20">
        <f>H637+Table1[[#This Row],[مبلغ ورود]]-Table1[[#This Row],[مبلغ خروج]]</f>
        <v>49312982558</v>
      </c>
      <c r="I638" s="216"/>
    </row>
    <row r="639" spans="1:9" ht="21">
      <c r="A639" s="241">
        <v>329</v>
      </c>
      <c r="B639" s="186" t="s">
        <v>1628</v>
      </c>
      <c r="C639" s="243"/>
      <c r="D639" s="74" t="s">
        <v>938</v>
      </c>
      <c r="E639" s="74" t="s">
        <v>1631</v>
      </c>
      <c r="F639" s="244"/>
      <c r="G639" s="20">
        <v>125000</v>
      </c>
      <c r="H639" s="20">
        <f>H638+Table1[[#This Row],[مبلغ ورود]]-Table1[[#This Row],[مبلغ خروج]]</f>
        <v>49312857558</v>
      </c>
      <c r="I639" s="216"/>
    </row>
    <row r="640" spans="1:9" ht="21">
      <c r="A640" s="1">
        <v>330</v>
      </c>
      <c r="B640" s="186" t="s">
        <v>1628</v>
      </c>
      <c r="C640" s="243"/>
      <c r="D640" s="74" t="s">
        <v>938</v>
      </c>
      <c r="E640" s="74" t="s">
        <v>1561</v>
      </c>
      <c r="F640" s="244"/>
      <c r="G640" s="20">
        <f>60000+60000+60000</f>
        <v>180000</v>
      </c>
      <c r="H640" s="20">
        <f>H639+Table1[[#This Row],[مبلغ ورود]]-Table1[[#This Row],[مبلغ خروج]]</f>
        <v>49312677558</v>
      </c>
      <c r="I640" s="216"/>
    </row>
    <row r="641" spans="1:9" ht="21">
      <c r="A641" s="243"/>
      <c r="B641" s="186" t="s">
        <v>1630</v>
      </c>
      <c r="C641" s="243"/>
      <c r="D641" s="74" t="s">
        <v>938</v>
      </c>
      <c r="E641" s="74" t="s">
        <v>1639</v>
      </c>
      <c r="F641" s="20">
        <v>203263459</v>
      </c>
      <c r="H641" s="20">
        <f>H640+Table1[[#This Row],[مبلغ ورود]]-Table1[[#This Row],[مبلغ خروج]]</f>
        <v>49515941017</v>
      </c>
      <c r="I641" s="216"/>
    </row>
    <row r="642" spans="1:9" ht="21">
      <c r="A642" s="241">
        <v>331</v>
      </c>
      <c r="B642" s="186" t="s">
        <v>1630</v>
      </c>
      <c r="C642" s="243"/>
      <c r="D642" s="74" t="s">
        <v>938</v>
      </c>
      <c r="E642" s="222" t="s">
        <v>1611</v>
      </c>
      <c r="F642" s="20">
        <v>80000000000</v>
      </c>
      <c r="H642" s="20">
        <f>H641+Table1[[#This Row],[مبلغ ورود]]-Table1[[#This Row],[مبلغ خروج]]</f>
        <v>129515941017</v>
      </c>
      <c r="I642" s="216"/>
    </row>
    <row r="643" spans="1:9" ht="56.25">
      <c r="A643" s="1">
        <v>332</v>
      </c>
      <c r="B643" s="186" t="s">
        <v>1630</v>
      </c>
      <c r="C643" s="1">
        <v>153033</v>
      </c>
      <c r="D643" s="74" t="s">
        <v>938</v>
      </c>
      <c r="E643" s="74" t="s">
        <v>1609</v>
      </c>
      <c r="F643" s="244"/>
      <c r="G643" s="20">
        <v>1000000000</v>
      </c>
      <c r="H643" s="20">
        <f>H642+Table1[[#This Row],[مبلغ ورود]]-Table1[[#This Row],[مبلغ خروج]]</f>
        <v>128515941017</v>
      </c>
      <c r="I643" s="216"/>
    </row>
    <row r="644" spans="1:9" ht="37.5">
      <c r="A644" s="241">
        <v>333</v>
      </c>
      <c r="B644" s="186" t="s">
        <v>1630</v>
      </c>
      <c r="C644" s="1">
        <v>153034</v>
      </c>
      <c r="D644" s="74" t="s">
        <v>938</v>
      </c>
      <c r="E644" s="74" t="s">
        <v>1632</v>
      </c>
      <c r="F644" s="244"/>
      <c r="G644" s="20">
        <v>20000000000</v>
      </c>
      <c r="H644" s="20">
        <f>H643+Table1[[#This Row],[مبلغ ورود]]-Table1[[#This Row],[مبلغ خروج]]</f>
        <v>108515941017</v>
      </c>
      <c r="I644" s="216"/>
    </row>
    <row r="645" spans="1:9" ht="37.5">
      <c r="A645" s="1">
        <v>334</v>
      </c>
      <c r="B645" s="1" t="s">
        <v>1630</v>
      </c>
      <c r="C645" s="1">
        <v>153035</v>
      </c>
      <c r="D645" s="74" t="s">
        <v>938</v>
      </c>
      <c r="E645" s="74" t="s">
        <v>1621</v>
      </c>
      <c r="F645" s="244"/>
      <c r="G645" s="20">
        <v>5000000000</v>
      </c>
      <c r="H645" s="20">
        <f>H644+Table1[[#This Row],[مبلغ ورود]]-Table1[[#This Row],[مبلغ خروج]]</f>
        <v>103515941017</v>
      </c>
      <c r="I645" s="216"/>
    </row>
    <row r="646" spans="1:9" ht="37.5">
      <c r="A646" s="241">
        <v>335</v>
      </c>
      <c r="B646" s="1" t="s">
        <v>1630</v>
      </c>
      <c r="C646" s="1">
        <v>153036</v>
      </c>
      <c r="D646" s="74" t="s">
        <v>938</v>
      </c>
      <c r="E646" s="74" t="s">
        <v>1621</v>
      </c>
      <c r="F646" s="244"/>
      <c r="G646" s="20">
        <v>20000000000</v>
      </c>
      <c r="H646" s="20">
        <f>H645+Table1[[#This Row],[مبلغ ورود]]-Table1[[#This Row],[مبلغ خروج]]</f>
        <v>83515941017</v>
      </c>
      <c r="I646" s="216"/>
    </row>
    <row r="647" spans="1:9" ht="56.25">
      <c r="A647" s="1">
        <v>336</v>
      </c>
      <c r="B647" s="1" t="s">
        <v>1630</v>
      </c>
      <c r="C647" s="1">
        <v>153037</v>
      </c>
      <c r="D647" s="74" t="s">
        <v>938</v>
      </c>
      <c r="E647" s="74" t="s">
        <v>1633</v>
      </c>
      <c r="F647" s="244"/>
      <c r="G647" s="20">
        <v>2250000000</v>
      </c>
      <c r="H647" s="20">
        <f>H646+Table1[[#This Row],[مبلغ ورود]]-Table1[[#This Row],[مبلغ خروج]]</f>
        <v>81265941017</v>
      </c>
      <c r="I647" s="216"/>
    </row>
    <row r="648" spans="1:9" ht="56.25">
      <c r="A648" s="241">
        <v>337</v>
      </c>
      <c r="B648" s="1" t="s">
        <v>1630</v>
      </c>
      <c r="C648" s="1">
        <v>153038</v>
      </c>
      <c r="D648" s="74" t="s">
        <v>938</v>
      </c>
      <c r="E648" s="74" t="s">
        <v>1634</v>
      </c>
      <c r="F648" s="244"/>
      <c r="G648" s="20">
        <v>68335350</v>
      </c>
      <c r="H648" s="20">
        <f>H647+Table1[[#This Row],[مبلغ ورود]]-Table1[[#This Row],[مبلغ خروج]]</f>
        <v>81197605667</v>
      </c>
      <c r="I648" s="216"/>
    </row>
    <row r="649" spans="1:9" ht="37.5">
      <c r="A649" s="1">
        <v>338</v>
      </c>
      <c r="B649" s="186" t="s">
        <v>1630</v>
      </c>
      <c r="C649" s="1">
        <v>153039</v>
      </c>
      <c r="D649" s="74" t="s">
        <v>938</v>
      </c>
      <c r="E649" s="74" t="s">
        <v>1621</v>
      </c>
      <c r="G649" s="20">
        <v>15000000000</v>
      </c>
      <c r="H649" s="20">
        <f>H648+Table1[[#This Row],[مبلغ ورود]]-Table1[[#This Row],[مبلغ خروج]]</f>
        <v>66197605667</v>
      </c>
      <c r="I649" s="216"/>
    </row>
    <row r="650" spans="1:9" ht="56.25">
      <c r="A650" s="241">
        <v>339</v>
      </c>
      <c r="B650" s="186" t="s">
        <v>1630</v>
      </c>
      <c r="C650" s="1">
        <v>153040</v>
      </c>
      <c r="D650" s="74" t="s">
        <v>938</v>
      </c>
      <c r="E650" s="74" t="s">
        <v>1635</v>
      </c>
      <c r="G650" s="20">
        <v>1028376090</v>
      </c>
      <c r="H650" s="20">
        <f>H649+Table1[[#This Row],[مبلغ ورود]]-Table1[[#This Row],[مبلغ خروج]]</f>
        <v>65169229577</v>
      </c>
      <c r="I650" s="216"/>
    </row>
    <row r="651" spans="1:9" ht="56.25">
      <c r="A651" s="1">
        <v>340</v>
      </c>
      <c r="B651" s="186" t="s">
        <v>1630</v>
      </c>
      <c r="C651" s="1">
        <v>153041</v>
      </c>
      <c r="D651" s="74" t="s">
        <v>938</v>
      </c>
      <c r="E651" s="74" t="s">
        <v>1636</v>
      </c>
      <c r="G651" s="20">
        <v>401030768</v>
      </c>
      <c r="H651" s="20">
        <f>H650+Table1[[#This Row],[مبلغ ورود]]-Table1[[#This Row],[مبلغ خروج]]</f>
        <v>64768198809</v>
      </c>
      <c r="I651" s="216"/>
    </row>
    <row r="652" spans="1:9" ht="37.5">
      <c r="A652" s="241">
        <v>341</v>
      </c>
      <c r="B652" s="186" t="s">
        <v>1630</v>
      </c>
      <c r="C652" s="241">
        <v>153042</v>
      </c>
      <c r="D652" s="74" t="s">
        <v>938</v>
      </c>
      <c r="E652" s="74" t="s">
        <v>1637</v>
      </c>
      <c r="F652" s="242"/>
      <c r="G652" s="20">
        <v>68847100200</v>
      </c>
      <c r="H652" s="20">
        <f>H651+Table1[[#This Row],[مبلغ ورود]]-Table1[[#This Row],[مبلغ خروج]]</f>
        <v>-4078901391</v>
      </c>
      <c r="I652" s="216"/>
    </row>
    <row r="653" spans="1:9" ht="21">
      <c r="A653" s="241">
        <v>342</v>
      </c>
      <c r="B653" s="186" t="s">
        <v>1630</v>
      </c>
      <c r="C653" s="239"/>
      <c r="D653" s="74" t="s">
        <v>938</v>
      </c>
      <c r="E653" s="74" t="s">
        <v>1552</v>
      </c>
      <c r="F653" s="20">
        <v>7900000000</v>
      </c>
      <c r="H653" s="20">
        <f>H652+Table1[[#This Row],[مبلغ ورود]]-Table1[[#This Row],[مبلغ خروج]]</f>
        <v>3821098609</v>
      </c>
      <c r="I653" s="216"/>
    </row>
    <row r="654" spans="1:9" ht="21">
      <c r="A654" s="241">
        <v>343</v>
      </c>
      <c r="B654" s="186" t="s">
        <v>1630</v>
      </c>
      <c r="C654" s="243"/>
      <c r="D654" s="245"/>
      <c r="E654" s="74" t="s">
        <v>1638</v>
      </c>
      <c r="F654" s="244"/>
      <c r="G654" s="20">
        <f>250000+250000+250000</f>
        <v>750000</v>
      </c>
      <c r="H654" s="20">
        <f>H653+Table1[[#This Row],[مبلغ ورود]]-Table1[[#This Row],[مبلغ خروج]]</f>
        <v>3820348609</v>
      </c>
      <c r="I654" s="216"/>
    </row>
    <row r="655" spans="1:9" ht="21">
      <c r="A655" s="241">
        <v>344</v>
      </c>
      <c r="B655" s="186" t="s">
        <v>1640</v>
      </c>
      <c r="C655" s="243"/>
      <c r="D655" s="74" t="s">
        <v>938</v>
      </c>
      <c r="E655" s="74" t="s">
        <v>1089</v>
      </c>
      <c r="F655" s="20">
        <v>28626768000</v>
      </c>
      <c r="H655" s="20">
        <f>H654+Table1[[#This Row],[مبلغ ورود]]-Table1[[#This Row],[مبلغ خروج]]</f>
        <v>32447116609</v>
      </c>
      <c r="I655" s="216"/>
    </row>
    <row r="656" spans="1:9" ht="37.5">
      <c r="A656" s="241">
        <v>345</v>
      </c>
      <c r="B656" s="186" t="s">
        <v>1640</v>
      </c>
      <c r="C656" s="241">
        <v>153043</v>
      </c>
      <c r="D656" s="74" t="s">
        <v>938</v>
      </c>
      <c r="E656" s="74" t="s">
        <v>1641</v>
      </c>
      <c r="F656" s="244"/>
      <c r="G656" s="20">
        <v>6257300000</v>
      </c>
      <c r="H656" s="20">
        <f>H655+Table1[[#This Row],[مبلغ ورود]]-Table1[[#This Row],[مبلغ خروج]]</f>
        <v>26189816609</v>
      </c>
      <c r="I656" s="216"/>
    </row>
    <row r="657" spans="1:9" ht="37.5">
      <c r="A657" s="241">
        <v>346</v>
      </c>
      <c r="B657" s="186" t="s">
        <v>1640</v>
      </c>
      <c r="C657" s="241">
        <v>153044</v>
      </c>
      <c r="D657" s="74" t="s">
        <v>938</v>
      </c>
      <c r="E657" s="74" t="s">
        <v>1642</v>
      </c>
      <c r="F657" s="244"/>
      <c r="G657" s="20">
        <v>475666092</v>
      </c>
      <c r="H657" s="20">
        <f>H656+Table1[[#This Row],[مبلغ ورود]]-Table1[[#This Row],[مبلغ خروج]]</f>
        <v>25714150517</v>
      </c>
      <c r="I657" s="216"/>
    </row>
    <row r="658" spans="1:9" ht="21">
      <c r="A658" s="241">
        <v>347</v>
      </c>
      <c r="B658" s="186" t="s">
        <v>1640</v>
      </c>
      <c r="C658" s="241">
        <v>153045</v>
      </c>
      <c r="D658" s="74" t="s">
        <v>938</v>
      </c>
      <c r="E658" s="74" t="s">
        <v>1643</v>
      </c>
      <c r="F658" s="244"/>
      <c r="G658" s="20">
        <v>415799057</v>
      </c>
      <c r="H658" s="20">
        <f>H657+Table1[[#This Row],[مبلغ ورود]]-Table1[[#This Row],[مبلغ خروج]]</f>
        <v>25298351460</v>
      </c>
      <c r="I658" s="216"/>
    </row>
    <row r="659" spans="1:9" ht="20.25" customHeight="1">
      <c r="A659" s="241">
        <v>348</v>
      </c>
      <c r="B659" s="186" t="s">
        <v>1640</v>
      </c>
      <c r="C659" s="243"/>
      <c r="D659" s="74" t="s">
        <v>938</v>
      </c>
      <c r="E659" s="74" t="s">
        <v>1646</v>
      </c>
      <c r="F659" s="244"/>
      <c r="G659" s="20">
        <f>250000+205675+250000+250000+110000+250000</f>
        <v>1315675</v>
      </c>
      <c r="H659" s="20">
        <f>H658+Table1[[#This Row],[مبلغ ورود]]-Table1[[#This Row],[مبلغ خروج]]</f>
        <v>25297035785</v>
      </c>
      <c r="I659" s="216"/>
    </row>
    <row r="660" spans="1:9" ht="21">
      <c r="A660" s="241">
        <v>349</v>
      </c>
      <c r="B660" s="186" t="s">
        <v>1640</v>
      </c>
      <c r="C660" s="243"/>
      <c r="D660" s="74" t="s">
        <v>938</v>
      </c>
      <c r="E660" s="74" t="s">
        <v>1644</v>
      </c>
      <c r="F660" s="244"/>
      <c r="G660" s="20">
        <v>450000</v>
      </c>
      <c r="H660" s="20">
        <f>H659+Table1[[#This Row],[مبلغ ورود]]-Table1[[#This Row],[مبلغ خروج]]</f>
        <v>25296585785</v>
      </c>
      <c r="I660" s="216"/>
    </row>
    <row r="661" spans="1:9" ht="37.5">
      <c r="A661" s="241">
        <v>350</v>
      </c>
      <c r="B661" s="186" t="s">
        <v>1640</v>
      </c>
      <c r="C661" s="241">
        <v>153046</v>
      </c>
      <c r="D661" s="74" t="s">
        <v>938</v>
      </c>
      <c r="E661" s="74" t="s">
        <v>1593</v>
      </c>
      <c r="F661" s="244"/>
      <c r="G661" s="20">
        <v>15000000000</v>
      </c>
      <c r="H661" s="20">
        <f>H660+Table1[[#This Row],[مبلغ ورود]]-Table1[[#This Row],[مبلغ خروج]]</f>
        <v>10296585785</v>
      </c>
      <c r="I661" s="216"/>
    </row>
    <row r="662" spans="1:9" ht="37.5">
      <c r="A662" s="241">
        <v>351</v>
      </c>
      <c r="B662" s="186" t="s">
        <v>1640</v>
      </c>
      <c r="C662" s="241">
        <v>153047</v>
      </c>
      <c r="D662" s="74" t="s">
        <v>938</v>
      </c>
      <c r="E662" s="151" t="s">
        <v>1645</v>
      </c>
      <c r="F662" s="244"/>
      <c r="G662" s="20">
        <v>3000000000</v>
      </c>
      <c r="H662" s="20">
        <f>H661+Table1[[#This Row],[مبلغ ورود]]-Table1[[#This Row],[مبلغ خروج]]</f>
        <v>7296585785</v>
      </c>
      <c r="I662" s="216"/>
    </row>
    <row r="663" spans="1:9" ht="21">
      <c r="A663" s="241">
        <v>352</v>
      </c>
      <c r="B663" s="186" t="s">
        <v>1648</v>
      </c>
      <c r="C663" s="243"/>
      <c r="D663" s="74" t="s">
        <v>938</v>
      </c>
      <c r="E663" s="246" t="s">
        <v>1647</v>
      </c>
      <c r="F663" s="244">
        <v>60000000000</v>
      </c>
      <c r="H663" s="20">
        <f>H662+Table1[[#This Row],[مبلغ ورود]]-Table1[[#This Row],[مبلغ خروج]]</f>
        <v>67296585785</v>
      </c>
      <c r="I663" s="216"/>
    </row>
    <row r="664" spans="1:9" ht="37.5">
      <c r="A664" s="241">
        <v>353</v>
      </c>
      <c r="B664" s="186" t="s">
        <v>1648</v>
      </c>
      <c r="C664" s="243">
        <v>153048</v>
      </c>
      <c r="D664" s="74" t="s">
        <v>938</v>
      </c>
      <c r="E664" s="74" t="s">
        <v>1621</v>
      </c>
      <c r="F664" s="244"/>
      <c r="G664" s="20">
        <v>30000000000</v>
      </c>
      <c r="H664" s="20">
        <f>H663+Table1[[#This Row],[مبلغ ورود]]-Table1[[#This Row],[مبلغ خروج]]</f>
        <v>37296585785</v>
      </c>
      <c r="I664" s="216"/>
    </row>
    <row r="665" spans="1:9" ht="21">
      <c r="A665" s="241">
        <v>354</v>
      </c>
      <c r="B665" s="186" t="s">
        <v>1648</v>
      </c>
      <c r="C665" s="243"/>
      <c r="D665" s="74" t="s">
        <v>938</v>
      </c>
      <c r="E665" s="74" t="s">
        <v>1649</v>
      </c>
      <c r="F665" s="244"/>
      <c r="G665" s="20">
        <f>24000+24000</f>
        <v>48000</v>
      </c>
      <c r="H665" s="20">
        <f>H664+Table1[[#This Row],[مبلغ ورود]]-Table1[[#This Row],[مبلغ خروج]]</f>
        <v>37296537785</v>
      </c>
      <c r="I665" s="216"/>
    </row>
    <row r="666" spans="1:9" ht="21">
      <c r="A666" s="241">
        <v>355</v>
      </c>
      <c r="B666" s="186" t="s">
        <v>1648</v>
      </c>
      <c r="C666" s="243"/>
      <c r="D666" s="74" t="s">
        <v>938</v>
      </c>
      <c r="E666" s="74" t="s">
        <v>1597</v>
      </c>
      <c r="F666" s="244">
        <v>85100000</v>
      </c>
      <c r="H666" s="20">
        <f>H665+Table1[[#This Row],[مبلغ ورود]]-Table1[[#This Row],[مبلغ خروج]]</f>
        <v>37381637785</v>
      </c>
      <c r="I666" s="216"/>
    </row>
    <row r="667" spans="1:9" ht="21">
      <c r="A667" s="241">
        <v>356</v>
      </c>
      <c r="B667" s="186" t="s">
        <v>1648</v>
      </c>
      <c r="C667" s="243"/>
      <c r="D667" s="74" t="s">
        <v>938</v>
      </c>
      <c r="E667" s="74" t="s">
        <v>1597</v>
      </c>
      <c r="F667" s="244">
        <v>101039298</v>
      </c>
      <c r="H667" s="20">
        <f>H666+Table1[[#This Row],[مبلغ ورود]]-Table1[[#This Row],[مبلغ خروج]]</f>
        <v>37482677083</v>
      </c>
      <c r="I667" s="216"/>
    </row>
    <row r="668" spans="1:9" ht="21">
      <c r="A668" s="241">
        <v>357</v>
      </c>
      <c r="B668" s="186" t="s">
        <v>1648</v>
      </c>
      <c r="C668" s="243"/>
      <c r="D668" s="74" t="s">
        <v>938</v>
      </c>
      <c r="E668" s="74" t="s">
        <v>1597</v>
      </c>
      <c r="F668" s="244">
        <v>54581529</v>
      </c>
      <c r="H668" s="20">
        <f>H667+Table1[[#This Row],[مبلغ ورود]]-Table1[[#This Row],[مبلغ خروج]]</f>
        <v>37537258612</v>
      </c>
      <c r="I668" s="216"/>
    </row>
    <row r="669" spans="1:9" ht="21">
      <c r="A669" s="241">
        <v>358</v>
      </c>
      <c r="B669" s="186" t="s">
        <v>1650</v>
      </c>
      <c r="C669" s="247"/>
      <c r="D669" s="74" t="s">
        <v>938</v>
      </c>
      <c r="E669" s="74" t="s">
        <v>1583</v>
      </c>
      <c r="F669" s="244">
        <v>75000000000</v>
      </c>
      <c r="H669" s="20">
        <f>H668+Table1[[#This Row],[مبلغ ورود]]-Table1[[#This Row],[مبلغ خروج]]</f>
        <v>112537258612</v>
      </c>
      <c r="I669" s="216"/>
    </row>
    <row r="670" spans="1:9" ht="21">
      <c r="A670" s="1"/>
      <c r="B670" s="186" t="s">
        <v>1650</v>
      </c>
      <c r="C670" s="1"/>
      <c r="E670" s="74" t="s">
        <v>1655</v>
      </c>
      <c r="G670" s="20">
        <f>250000+250000+250000</f>
        <v>750000</v>
      </c>
      <c r="H670" s="20">
        <f>H669+Table1[[#This Row],[مبلغ ورود]]-Table1[[#This Row],[مبلغ خروج]]</f>
        <v>112536508612</v>
      </c>
      <c r="I670" s="216"/>
    </row>
    <row r="671" spans="1:9" ht="37.5">
      <c r="A671" s="241">
        <v>359</v>
      </c>
      <c r="B671" s="186" t="s">
        <v>1651</v>
      </c>
      <c r="C671" s="247">
        <v>153049</v>
      </c>
      <c r="D671" s="74" t="s">
        <v>938</v>
      </c>
      <c r="E671" s="197" t="s">
        <v>1652</v>
      </c>
      <c r="F671" s="248"/>
      <c r="G671" s="20">
        <v>418000000</v>
      </c>
      <c r="H671" s="20">
        <f>H670+Table1[[#This Row],[مبلغ ورود]]-Table1[[#This Row],[مبلغ خروج]]</f>
        <v>112118508612</v>
      </c>
      <c r="I671" s="216"/>
    </row>
    <row r="672" spans="1:9" ht="37.5">
      <c r="A672" s="241">
        <v>360</v>
      </c>
      <c r="B672" s="186" t="s">
        <v>1651</v>
      </c>
      <c r="C672" s="247">
        <v>153050</v>
      </c>
      <c r="D672" s="74" t="s">
        <v>938</v>
      </c>
      <c r="E672" s="74" t="s">
        <v>1653</v>
      </c>
      <c r="F672" s="248"/>
      <c r="G672" s="20">
        <v>431121800</v>
      </c>
      <c r="H672" s="20">
        <f>H671+Table1[[#This Row],[مبلغ ورود]]-Table1[[#This Row],[مبلغ خروج]]</f>
        <v>111687386812</v>
      </c>
      <c r="I672" s="216"/>
    </row>
    <row r="673" spans="1:9" ht="37.5">
      <c r="A673" s="241">
        <v>361</v>
      </c>
      <c r="B673" s="186" t="s">
        <v>1651</v>
      </c>
      <c r="C673" s="249">
        <v>343151</v>
      </c>
      <c r="D673" s="74" t="s">
        <v>938</v>
      </c>
      <c r="E673" s="74" t="s">
        <v>1654</v>
      </c>
      <c r="F673" s="250"/>
      <c r="G673" s="20">
        <v>56000000</v>
      </c>
      <c r="H673" s="20">
        <f>H672+Table1[[#This Row],[مبلغ ورود]]-Table1[[#This Row],[مبلغ خروج]]</f>
        <v>111631386812</v>
      </c>
      <c r="I673" s="216"/>
    </row>
    <row r="674" spans="1:9" ht="37.5">
      <c r="A674" s="249">
        <v>362</v>
      </c>
      <c r="B674" s="186" t="s">
        <v>1651</v>
      </c>
      <c r="C674" s="249">
        <v>343152</v>
      </c>
      <c r="D674" s="74" t="s">
        <v>938</v>
      </c>
      <c r="E674" s="74" t="s">
        <v>1593</v>
      </c>
      <c r="F674" s="250"/>
      <c r="G674" s="20">
        <v>1000000000</v>
      </c>
      <c r="H674" s="20">
        <f>H673+Table1[[#This Row],[مبلغ ورود]]-Table1[[#This Row],[مبلغ خروج]]</f>
        <v>110631386812</v>
      </c>
      <c r="I674" s="216"/>
    </row>
    <row r="675" spans="1:9" ht="37.5">
      <c r="A675" s="249">
        <v>363</v>
      </c>
      <c r="B675" s="186" t="s">
        <v>1651</v>
      </c>
      <c r="C675" s="249">
        <v>343153</v>
      </c>
      <c r="D675" s="74" t="s">
        <v>938</v>
      </c>
      <c r="E675" s="74" t="s">
        <v>1657</v>
      </c>
      <c r="F675" s="250"/>
      <c r="G675" s="20">
        <v>57933000</v>
      </c>
      <c r="H675" s="20">
        <f>H674+Table1[[#This Row],[مبلغ ورود]]-Table1[[#This Row],[مبلغ خروج]]</f>
        <v>110573453812</v>
      </c>
      <c r="I675" s="216"/>
    </row>
    <row r="676" spans="1:9" ht="56.25">
      <c r="A676" s="249">
        <v>364</v>
      </c>
      <c r="B676" s="186" t="s">
        <v>1651</v>
      </c>
      <c r="C676" s="249">
        <v>343154</v>
      </c>
      <c r="D676" s="74" t="s">
        <v>938</v>
      </c>
      <c r="E676" s="74" t="s">
        <v>1656</v>
      </c>
      <c r="F676" s="250"/>
      <c r="G676" s="20">
        <v>51866197</v>
      </c>
      <c r="H676" s="20">
        <f>H675+Table1[[#This Row],[مبلغ ورود]]-Table1[[#This Row],[مبلغ خروج]]</f>
        <v>110521587615</v>
      </c>
      <c r="I676" s="216"/>
    </row>
    <row r="677" spans="1:9" ht="37.5">
      <c r="A677" s="1">
        <v>365</v>
      </c>
      <c r="B677" s="186" t="s">
        <v>1651</v>
      </c>
      <c r="C677" s="1">
        <v>343155</v>
      </c>
      <c r="D677" s="74" t="s">
        <v>938</v>
      </c>
      <c r="E677" s="74" t="s">
        <v>1658</v>
      </c>
      <c r="G677" s="20">
        <v>19312982200</v>
      </c>
      <c r="H677" s="20">
        <f>H676+Table1[[#This Row],[مبلغ ورود]]-Table1[[#This Row],[مبلغ خروج]]</f>
        <v>91208605415</v>
      </c>
      <c r="I677" s="216"/>
    </row>
    <row r="678" spans="1:9" ht="21">
      <c r="A678" s="251"/>
      <c r="B678" s="186" t="s">
        <v>1651</v>
      </c>
      <c r="C678" s="251"/>
      <c r="D678" s="74" t="s">
        <v>938</v>
      </c>
      <c r="E678" s="74" t="s">
        <v>1669</v>
      </c>
      <c r="F678" s="253"/>
      <c r="G678" s="20">
        <f>80206+105099</f>
        <v>185305</v>
      </c>
      <c r="H678" s="20">
        <f>H677+Table1[[#This Row],[مبلغ ورود]]-Table1[[#This Row],[مبلغ خروج]]</f>
        <v>91208420110</v>
      </c>
      <c r="I678" s="216"/>
    </row>
    <row r="679" spans="1:9" ht="21">
      <c r="A679" s="251"/>
      <c r="B679" s="186" t="s">
        <v>1659</v>
      </c>
      <c r="C679" s="251"/>
      <c r="D679" s="252"/>
      <c r="E679" s="74" t="s">
        <v>1670</v>
      </c>
      <c r="F679" s="253"/>
      <c r="G679" s="20">
        <f>83600+207000+5793</f>
        <v>296393</v>
      </c>
      <c r="H679" s="20">
        <f>H678+Table1[[#This Row],[مبلغ ورود]]-Table1[[#This Row],[مبلغ خروج]]</f>
        <v>91208123717</v>
      </c>
      <c r="I679" s="216"/>
    </row>
    <row r="680" spans="1:9" ht="56.25">
      <c r="A680" s="1">
        <v>366</v>
      </c>
      <c r="B680" s="186" t="s">
        <v>1659</v>
      </c>
      <c r="C680" s="1">
        <v>343156</v>
      </c>
      <c r="D680" s="74" t="s">
        <v>938</v>
      </c>
      <c r="E680" s="74" t="s">
        <v>1609</v>
      </c>
      <c r="G680" s="20">
        <v>200000000</v>
      </c>
      <c r="H680" s="20">
        <f>H679+Table1[[#This Row],[مبلغ ورود]]-Table1[[#This Row],[مبلغ خروج]]</f>
        <v>91008123717</v>
      </c>
      <c r="I680" s="216"/>
    </row>
    <row r="681" spans="1:9" ht="37.5">
      <c r="A681" s="1">
        <v>367</v>
      </c>
      <c r="B681" s="186" t="s">
        <v>1659</v>
      </c>
      <c r="C681" s="1">
        <v>343157</v>
      </c>
      <c r="D681" s="74" t="s">
        <v>938</v>
      </c>
      <c r="E681" s="74" t="s">
        <v>1660</v>
      </c>
      <c r="G681" s="20">
        <v>3450000000</v>
      </c>
      <c r="H681" s="20">
        <f>H680+Table1[[#This Row],[مبلغ ورود]]-Table1[[#This Row],[مبلغ خروج]]</f>
        <v>87558123717</v>
      </c>
      <c r="I681" s="216"/>
    </row>
    <row r="682" spans="1:9" ht="21">
      <c r="A682" s="1">
        <v>368</v>
      </c>
      <c r="B682" s="186" t="s">
        <v>1659</v>
      </c>
      <c r="C682" s="1"/>
      <c r="D682" s="74" t="s">
        <v>938</v>
      </c>
      <c r="E682" s="74" t="s">
        <v>1662</v>
      </c>
      <c r="F682" s="73">
        <v>10000000000</v>
      </c>
      <c r="H682" s="20">
        <f>H681+Table1[[#This Row],[مبلغ ورود]]-Table1[[#This Row],[مبلغ خروج]]</f>
        <v>97558123717</v>
      </c>
      <c r="I682" s="216"/>
    </row>
    <row r="683" spans="1:9" ht="37.5">
      <c r="A683" s="247">
        <v>369</v>
      </c>
      <c r="B683" s="186" t="s">
        <v>1659</v>
      </c>
      <c r="C683" s="247">
        <v>343158</v>
      </c>
      <c r="D683" s="74" t="s">
        <v>938</v>
      </c>
      <c r="E683" s="74" t="s">
        <v>1661</v>
      </c>
      <c r="F683" s="248"/>
      <c r="G683" s="20">
        <v>5000000000</v>
      </c>
      <c r="H683" s="20">
        <f>H682+Table1[[#This Row],[مبلغ ورود]]-Table1[[#This Row],[مبلغ خروج]]</f>
        <v>92558123717</v>
      </c>
      <c r="I683" s="216"/>
    </row>
    <row r="684" spans="1:9" ht="37.5">
      <c r="A684" s="1">
        <v>370</v>
      </c>
      <c r="B684" s="186" t="s">
        <v>1659</v>
      </c>
      <c r="C684" s="247">
        <v>343159</v>
      </c>
      <c r="D684" s="74" t="s">
        <v>938</v>
      </c>
      <c r="E684" s="74" t="s">
        <v>1663</v>
      </c>
      <c r="F684" s="248"/>
      <c r="G684" s="20">
        <v>25000000000</v>
      </c>
      <c r="H684" s="20">
        <f>H683+Table1[[#This Row],[مبلغ ورود]]-Table1[[#This Row],[مبلغ خروج]]</f>
        <v>67558123717</v>
      </c>
      <c r="I684" s="216"/>
    </row>
    <row r="685" spans="1:9" ht="21">
      <c r="A685" s="251"/>
      <c r="B685" s="186" t="s">
        <v>1664</v>
      </c>
      <c r="C685" s="251"/>
      <c r="D685" s="252"/>
      <c r="E685" s="74" t="s">
        <v>1671</v>
      </c>
      <c r="F685" s="253"/>
      <c r="G685" s="20">
        <f>250000+250000+14559</f>
        <v>514559</v>
      </c>
      <c r="H685" s="20">
        <f>H684+Table1[[#This Row],[مبلغ ورود]]-Table1[[#This Row],[مبلغ خروج]]</f>
        <v>67557609158</v>
      </c>
      <c r="I685" s="216"/>
    </row>
    <row r="686" spans="1:9" ht="21">
      <c r="A686" s="251"/>
      <c r="B686" s="254"/>
      <c r="C686" s="251"/>
      <c r="D686" s="252"/>
      <c r="E686" s="74"/>
      <c r="F686" s="253"/>
      <c r="G686" s="20">
        <v>86224</v>
      </c>
      <c r="H686" s="20">
        <f>H685+Table1[[#This Row],[مبلغ ورود]]-Table1[[#This Row],[مبلغ خروج]]</f>
        <v>67557522934</v>
      </c>
      <c r="I686" s="216"/>
    </row>
    <row r="687" spans="1:9" ht="37.5">
      <c r="A687" s="247">
        <v>371</v>
      </c>
      <c r="B687" s="186" t="s">
        <v>1664</v>
      </c>
      <c r="C687" s="243">
        <v>343160</v>
      </c>
      <c r="D687" s="74" t="s">
        <v>938</v>
      </c>
      <c r="E687" s="74" t="s">
        <v>1665</v>
      </c>
      <c r="F687" s="244"/>
      <c r="G687" s="20">
        <v>40000000</v>
      </c>
      <c r="H687" s="20">
        <f>H686+Table1[[#This Row],[مبلغ ورود]]-Table1[[#This Row],[مبلغ خروج]]</f>
        <v>67517522934</v>
      </c>
      <c r="I687" s="216"/>
    </row>
    <row r="688" spans="1:9" ht="37.5">
      <c r="A688" s="1">
        <v>372</v>
      </c>
      <c r="B688" s="186" t="s">
        <v>1664</v>
      </c>
      <c r="C688" s="243">
        <v>343161</v>
      </c>
      <c r="D688" s="74" t="s">
        <v>938</v>
      </c>
      <c r="E688" s="74" t="s">
        <v>1666</v>
      </c>
      <c r="F688" s="244"/>
      <c r="G688" s="20">
        <f>27120000+118470100</f>
        <v>145590100</v>
      </c>
      <c r="H688" s="20">
        <f>H687+Table1[[#This Row],[مبلغ ورود]]-Table1[[#This Row],[مبلغ خروج]]</f>
        <v>67371932834</v>
      </c>
      <c r="I688" s="216"/>
    </row>
    <row r="689" spans="1:9" ht="56.25">
      <c r="A689" s="247">
        <v>373</v>
      </c>
      <c r="B689" s="186" t="s">
        <v>1667</v>
      </c>
      <c r="C689" s="232">
        <v>343162</v>
      </c>
      <c r="D689" s="74" t="s">
        <v>938</v>
      </c>
      <c r="E689" s="74" t="s">
        <v>1668</v>
      </c>
      <c r="F689" s="20"/>
      <c r="G689" s="20">
        <v>1282500090</v>
      </c>
      <c r="H689" s="20">
        <f>H688+Table1[[#This Row],[مبلغ ورود]]-Table1[[#This Row],[مبلغ خروج]]</f>
        <v>66089432744</v>
      </c>
      <c r="I689" s="216"/>
    </row>
    <row r="690" spans="1:9" ht="37.5">
      <c r="A690" s="1">
        <v>374</v>
      </c>
      <c r="B690" s="186" t="s">
        <v>1667</v>
      </c>
      <c r="C690" s="1">
        <v>343163</v>
      </c>
      <c r="D690" s="74" t="s">
        <v>938</v>
      </c>
      <c r="E690" s="74" t="s">
        <v>1663</v>
      </c>
      <c r="G690" s="20">
        <v>10000000000</v>
      </c>
      <c r="H690" s="20">
        <f>H689+Table1[[#This Row],[مبلغ ورود]]-Table1[[#This Row],[مبلغ خروج]]</f>
        <v>56089432744</v>
      </c>
      <c r="I690" s="216"/>
    </row>
    <row r="691" spans="1:9" ht="21">
      <c r="A691" s="247">
        <v>375</v>
      </c>
      <c r="B691" s="186" t="s">
        <v>1667</v>
      </c>
      <c r="C691" s="1"/>
      <c r="D691" s="74" t="s">
        <v>938</v>
      </c>
      <c r="E691" s="74" t="s">
        <v>1638</v>
      </c>
      <c r="G691" s="20">
        <f>4000+250000</f>
        <v>254000</v>
      </c>
      <c r="H691" s="20">
        <f>H690+Table1[[#This Row],[مبلغ ورود]]-Table1[[#This Row],[مبلغ خروج]]</f>
        <v>56089178744</v>
      </c>
      <c r="I691" s="216"/>
    </row>
    <row r="692" spans="1:9" ht="21">
      <c r="A692" s="1">
        <v>376</v>
      </c>
      <c r="B692" s="186"/>
      <c r="C692" s="1"/>
      <c r="E692" s="74"/>
      <c r="H692" s="20">
        <f>H691+Table1[[#This Row],[مبلغ ورود]]-Table1[[#This Row],[مبلغ خروج]]</f>
        <v>56089178744</v>
      </c>
      <c r="I692" s="216"/>
    </row>
    <row r="693" spans="1:9" ht="21">
      <c r="A693" s="247">
        <v>377</v>
      </c>
      <c r="B693" s="186"/>
      <c r="C693" s="1"/>
      <c r="E693" s="74"/>
      <c r="H693" s="20">
        <f>H692+Table1[[#This Row],[مبلغ ورود]]-Table1[[#This Row],[مبلغ خروج]]</f>
        <v>56089178744</v>
      </c>
      <c r="I693" s="216"/>
    </row>
    <row r="694" spans="1:9" ht="21">
      <c r="A694" s="1">
        <v>378</v>
      </c>
      <c r="B694" s="186"/>
      <c r="C694" s="1"/>
      <c r="E694" s="74"/>
      <c r="H694" s="20">
        <f>H693+Table1[[#This Row],[مبلغ ورود]]-Table1[[#This Row],[مبلغ خروج]]</f>
        <v>56089178744</v>
      </c>
      <c r="I694" s="216"/>
    </row>
    <row r="695" spans="1:9" ht="21">
      <c r="A695" s="247">
        <v>379</v>
      </c>
      <c r="B695" s="186"/>
      <c r="C695" s="1"/>
      <c r="E695" s="74"/>
      <c r="H695" s="20">
        <f>H694+Table1[[#This Row],[مبلغ ورود]]-Table1[[#This Row],[مبلغ خروج]]</f>
        <v>56089178744</v>
      </c>
      <c r="I695" s="216"/>
    </row>
    <row r="696" spans="1:9" ht="21">
      <c r="A696" s="1">
        <v>380</v>
      </c>
      <c r="B696" s="186"/>
      <c r="C696" s="1"/>
      <c r="E696" s="74"/>
      <c r="H696" s="20">
        <f>H695+Table1[[#This Row],[مبلغ ورود]]-Table1[[#This Row],[مبلغ خروج]]</f>
        <v>56089178744</v>
      </c>
      <c r="I696" s="216"/>
    </row>
    <row r="697" spans="1:9" ht="21">
      <c r="A697" s="247">
        <v>381</v>
      </c>
      <c r="B697" s="186"/>
      <c r="C697" s="1"/>
      <c r="E697" s="74"/>
      <c r="H697" s="20">
        <f>H696+Table1[[#This Row],[مبلغ ورود]]-Table1[[#This Row],[مبلغ خروج]]</f>
        <v>56089178744</v>
      </c>
      <c r="I697" s="216"/>
    </row>
    <row r="698" spans="1:9" ht="21">
      <c r="A698" s="1">
        <v>382</v>
      </c>
      <c r="B698" s="186"/>
      <c r="C698" s="1"/>
      <c r="E698" s="74"/>
      <c r="H698" s="20">
        <f>H697+Table1[[#This Row],[مبلغ ورود]]-Table1[[#This Row],[مبلغ خروج]]</f>
        <v>56089178744</v>
      </c>
      <c r="I698" s="216"/>
    </row>
    <row r="699" spans="1:9" ht="21">
      <c r="A699" s="247">
        <v>383</v>
      </c>
      <c r="B699" s="186"/>
      <c r="C699" s="1"/>
      <c r="E699" s="74"/>
      <c r="H699" s="20">
        <f>H698+Table1[[#This Row],[مبلغ ورود]]-Table1[[#This Row],[مبلغ خروج]]</f>
        <v>56089178744</v>
      </c>
      <c r="I699" s="216"/>
    </row>
    <row r="700" spans="1:9" ht="21">
      <c r="A700" s="1">
        <v>384</v>
      </c>
      <c r="B700" s="186"/>
      <c r="C700" s="1"/>
      <c r="E700" s="74"/>
      <c r="F700" s="20"/>
      <c r="H700" s="20">
        <f>H699+Table1[[#This Row],[مبلغ ورود]]-Table1[[#This Row],[مبلغ خروج]]</f>
        <v>56089178744</v>
      </c>
      <c r="I700" s="216"/>
    </row>
    <row r="701" spans="1:9" ht="21">
      <c r="A701" s="247">
        <v>385</v>
      </c>
      <c r="B701" s="186"/>
      <c r="C701" s="1"/>
      <c r="E701" s="74"/>
      <c r="H701" s="20">
        <f>H700+Table1[[#This Row],[مبلغ ورود]]-Table1[[#This Row],[مبلغ خروج]]</f>
        <v>56089178744</v>
      </c>
      <c r="I701" s="216"/>
    </row>
    <row r="702" spans="1:9" ht="21">
      <c r="A702" s="1">
        <v>386</v>
      </c>
      <c r="B702" s="186"/>
      <c r="C702" s="1"/>
      <c r="E702" s="74"/>
      <c r="H702" s="20">
        <f>H701+Table1[[#This Row],[مبلغ ورود]]-Table1[[#This Row],[مبلغ خروج]]</f>
        <v>56089178744</v>
      </c>
      <c r="I702" s="216"/>
    </row>
    <row r="703" spans="1:9" ht="21">
      <c r="A703" s="1" t="s">
        <v>537</v>
      </c>
      <c r="B703" s="21"/>
      <c r="C703" s="1"/>
      <c r="D703" s="21"/>
      <c r="E703" s="78"/>
      <c r="F703" s="80">
        <f>SUBTOTAL(109,Table1[مبلغ ورود])</f>
        <v>2416040613178</v>
      </c>
      <c r="G703" s="80">
        <f>SUBTOTAL(109,Table1[مبلغ خروج])</f>
        <v>2359821964434</v>
      </c>
      <c r="H703" s="159"/>
      <c r="I703" s="159"/>
    </row>
    <row r="704" spans="1:9">
      <c r="F704" s="19"/>
      <c r="G704" s="19"/>
      <c r="H704" s="19"/>
    </row>
    <row r="705" s="19" customFormat="1"/>
    <row r="706" s="19" customFormat="1"/>
    <row r="707" s="19" customFormat="1"/>
    <row r="708" s="19" customFormat="1"/>
    <row r="709" s="19" customFormat="1"/>
    <row r="710" s="19" customFormat="1"/>
    <row r="711" s="19" customFormat="1"/>
    <row r="712" s="19" customFormat="1"/>
  </sheetData>
  <mergeCells count="2">
    <mergeCell ref="A1:H1"/>
    <mergeCell ref="A2:H2"/>
  </mergeCells>
  <phoneticPr fontId="60" type="noConversion"/>
  <printOptions horizontalCentered="1"/>
  <pageMargins left="0.7" right="0.7" top="0.75" bottom="0.75" header="0.3" footer="0.3"/>
  <pageSetup paperSize="9" scale="46" fitToHeight="15" orientation="portrait" r:id="rId1"/>
  <headerFooter>
    <oddFooter>&amp;L&amp;P of&amp;N&amp;C&amp;"B Nazanin,Bold"&amp;10زینب امین زاده&amp;R&amp;D</oddFooter>
  </headerFooter>
  <ignoredErrors>
    <ignoredError sqref="F485 F482 F526" calculatedColumn="1"/>
  </ignoredError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431E7-C84A-4E53-B53A-0534FE796C64}">
  <sheetPr>
    <tabColor theme="9" tint="-0.499984740745262"/>
  </sheetPr>
  <dimension ref="A1:J461"/>
  <sheetViews>
    <sheetView rightToLeft="1" view="pageBreakPreview" topLeftCell="A425" zoomScaleNormal="100" zoomScaleSheetLayoutView="100" workbookViewId="0">
      <selection activeCell="F404" sqref="F404"/>
    </sheetView>
  </sheetViews>
  <sheetFormatPr defaultColWidth="9.140625" defaultRowHeight="18.75"/>
  <cols>
    <col min="1" max="1" width="5.42578125" style="19" customWidth="1"/>
    <col min="2" max="2" width="13.28515625" style="19" customWidth="1"/>
    <col min="3" max="3" width="12.85546875" style="19" bestFit="1" customWidth="1"/>
    <col min="4" max="4" width="16.42578125" style="19" customWidth="1"/>
    <col min="5" max="5" width="25.7109375" style="19" customWidth="1"/>
    <col min="6" max="6" width="106.85546875" style="19" customWidth="1"/>
    <col min="7" max="7" width="20.28515625" style="73" customWidth="1"/>
    <col min="8" max="8" width="19.5703125" style="20" bestFit="1" customWidth="1"/>
    <col min="9" max="9" width="20.28515625" style="20" customWidth="1"/>
    <col min="10" max="10" width="25.85546875" style="19" customWidth="1"/>
    <col min="11" max="16384" width="9.140625" style="19"/>
  </cols>
  <sheetData>
    <row r="1" spans="1:10" ht="21">
      <c r="A1" s="435" t="s">
        <v>6</v>
      </c>
      <c r="B1" s="435"/>
      <c r="C1" s="435"/>
      <c r="D1" s="435"/>
      <c r="E1" s="435"/>
      <c r="F1" s="435"/>
      <c r="G1" s="435"/>
      <c r="H1" s="435"/>
      <c r="I1" s="435"/>
    </row>
    <row r="2" spans="1:10" ht="21">
      <c r="A2" s="435" t="s">
        <v>27</v>
      </c>
      <c r="B2" s="435"/>
      <c r="C2" s="435"/>
      <c r="D2" s="435"/>
      <c r="E2" s="435"/>
      <c r="F2" s="435"/>
      <c r="G2" s="435"/>
      <c r="H2" s="435"/>
      <c r="I2" s="435"/>
    </row>
    <row r="3" spans="1:10" ht="21">
      <c r="A3" s="1" t="s">
        <v>0</v>
      </c>
      <c r="B3" s="1" t="s">
        <v>1</v>
      </c>
      <c r="C3" s="1" t="s">
        <v>2</v>
      </c>
      <c r="D3" s="1" t="s">
        <v>18</v>
      </c>
      <c r="E3" s="1" t="s">
        <v>1791</v>
      </c>
      <c r="F3" s="1" t="s">
        <v>19</v>
      </c>
      <c r="G3" s="71" t="s">
        <v>3</v>
      </c>
      <c r="H3" s="2" t="s">
        <v>4</v>
      </c>
      <c r="I3" s="2" t="s">
        <v>5</v>
      </c>
      <c r="J3" s="215" t="s">
        <v>1477</v>
      </c>
    </row>
    <row r="4" spans="1:10" ht="21">
      <c r="A4" s="1">
        <v>1</v>
      </c>
      <c r="B4" s="1"/>
      <c r="C4" s="1"/>
      <c r="F4" s="74" t="s">
        <v>26</v>
      </c>
      <c r="G4" s="73">
        <v>56089178744</v>
      </c>
      <c r="I4" s="20">
        <f>Table14[[#This Row],[مبلغ ورود]]-Table14[[#This Row],[مبلغ خروج]]</f>
        <v>56089178744</v>
      </c>
      <c r="J4" s="216"/>
    </row>
    <row r="5" spans="1:10" ht="21">
      <c r="A5" s="1">
        <v>2</v>
      </c>
      <c r="B5" s="1" t="s">
        <v>1688</v>
      </c>
      <c r="C5" s="251"/>
      <c r="D5" s="74" t="s">
        <v>938</v>
      </c>
      <c r="E5" s="74"/>
      <c r="F5" s="74" t="s">
        <v>1686</v>
      </c>
      <c r="G5" s="20">
        <v>13319663</v>
      </c>
      <c r="I5" s="20">
        <f>I4+Table14[[#This Row],[مبلغ ورود]]-Table14[[#This Row],[مبلغ خروج]]</f>
        <v>56102498407</v>
      </c>
      <c r="J5" s="216"/>
    </row>
    <row r="6" spans="1:10" ht="21">
      <c r="A6" s="1">
        <v>3</v>
      </c>
      <c r="B6" s="1" t="s">
        <v>1689</v>
      </c>
      <c r="C6" s="251"/>
      <c r="D6" s="74" t="s">
        <v>938</v>
      </c>
      <c r="E6" s="74"/>
      <c r="F6" s="74" t="s">
        <v>1687</v>
      </c>
      <c r="G6" s="20">
        <v>47659909</v>
      </c>
      <c r="I6" s="20">
        <f>I5+Table14[[#This Row],[مبلغ ورود]]-Table14[[#This Row],[مبلغ خروج]]</f>
        <v>56150158316</v>
      </c>
      <c r="J6" s="216"/>
    </row>
    <row r="7" spans="1:10" ht="37.5">
      <c r="A7" s="1">
        <v>4</v>
      </c>
      <c r="B7" s="1" t="s">
        <v>1672</v>
      </c>
      <c r="C7" s="1">
        <v>343164</v>
      </c>
      <c r="D7" s="74" t="s">
        <v>938</v>
      </c>
      <c r="E7" s="74"/>
      <c r="F7" s="74" t="s">
        <v>1673</v>
      </c>
      <c r="H7" s="20">
        <v>18460400000</v>
      </c>
      <c r="I7" s="20">
        <f>I6+Table14[[#This Row],[مبلغ ورود]]-Table14[[#This Row],[مبلغ خروج]]</f>
        <v>37689758316</v>
      </c>
      <c r="J7" s="216"/>
    </row>
    <row r="8" spans="1:10" ht="21">
      <c r="A8" s="1">
        <v>5</v>
      </c>
      <c r="B8" s="1" t="s">
        <v>1675</v>
      </c>
      <c r="C8" s="251"/>
      <c r="D8" s="252"/>
      <c r="E8" s="252"/>
      <c r="F8" s="74" t="s">
        <v>1638</v>
      </c>
      <c r="G8" s="253"/>
      <c r="H8" s="20">
        <v>250000</v>
      </c>
      <c r="I8" s="20">
        <f>I7+Table14[[#This Row],[مبلغ ورود]]-Table14[[#This Row],[مبلغ خروج]]</f>
        <v>37689508316</v>
      </c>
      <c r="J8" s="216"/>
    </row>
    <row r="9" spans="1:10" ht="37.5">
      <c r="A9" s="1">
        <v>6</v>
      </c>
      <c r="B9" s="1" t="s">
        <v>1675</v>
      </c>
      <c r="C9" s="1">
        <v>343165</v>
      </c>
      <c r="D9" s="74" t="s">
        <v>938</v>
      </c>
      <c r="E9" s="74"/>
      <c r="F9" s="74" t="s">
        <v>1674</v>
      </c>
      <c r="H9" s="20">
        <v>106424500</v>
      </c>
      <c r="I9" s="20">
        <f>I8+Table14[[#This Row],[مبلغ ورود]]-Table14[[#This Row],[مبلغ خروج]]</f>
        <v>37583083816</v>
      </c>
      <c r="J9" s="216"/>
    </row>
    <row r="10" spans="1:10" ht="37.5">
      <c r="A10" s="1">
        <v>7</v>
      </c>
      <c r="B10" s="1" t="s">
        <v>1675</v>
      </c>
      <c r="C10" s="183">
        <v>343166</v>
      </c>
      <c r="D10" s="74" t="s">
        <v>938</v>
      </c>
      <c r="E10" s="74"/>
      <c r="F10" s="74" t="s">
        <v>1676</v>
      </c>
      <c r="G10" s="184"/>
      <c r="H10" s="185">
        <v>70850000</v>
      </c>
      <c r="I10" s="20">
        <f>I9+Table14[[#This Row],[مبلغ ورود]]-Table14[[#This Row],[مبلغ خروج]]</f>
        <v>37512233816</v>
      </c>
      <c r="J10" s="216"/>
    </row>
    <row r="11" spans="1:10" ht="21">
      <c r="A11" s="1">
        <v>8</v>
      </c>
      <c r="B11" s="1" t="s">
        <v>1675</v>
      </c>
      <c r="C11" s="251"/>
      <c r="D11" s="74" t="s">
        <v>938</v>
      </c>
      <c r="E11" s="74"/>
      <c r="F11" s="74" t="s">
        <v>1690</v>
      </c>
      <c r="G11" s="20">
        <v>1240618584</v>
      </c>
      <c r="I11" s="20">
        <f>I10+Table14[[#This Row],[مبلغ ورود]]-Table14[[#This Row],[مبلغ خروج]]</f>
        <v>38752852400</v>
      </c>
      <c r="J11" s="216"/>
    </row>
    <row r="12" spans="1:10" ht="37.5">
      <c r="A12" s="1">
        <v>9</v>
      </c>
      <c r="B12" s="1" t="s">
        <v>1677</v>
      </c>
      <c r="C12" s="1">
        <v>343167</v>
      </c>
      <c r="D12" s="74" t="s">
        <v>938</v>
      </c>
      <c r="E12" s="74"/>
      <c r="F12" s="222" t="s">
        <v>1678</v>
      </c>
      <c r="H12" s="20">
        <v>1650715000</v>
      </c>
      <c r="I12" s="20">
        <f>I11+Table14[[#This Row],[مبلغ ورود]]-Table14[[#This Row],[مبلغ خروج]]</f>
        <v>37102137400</v>
      </c>
      <c r="J12" s="216"/>
    </row>
    <row r="13" spans="1:10" ht="37.5">
      <c r="A13" s="1">
        <v>10</v>
      </c>
      <c r="B13" s="1" t="s">
        <v>1677</v>
      </c>
      <c r="C13" s="183">
        <v>343168</v>
      </c>
      <c r="D13" s="74" t="s">
        <v>938</v>
      </c>
      <c r="E13" s="74"/>
      <c r="F13" s="74" t="s">
        <v>1679</v>
      </c>
      <c r="G13" s="184"/>
      <c r="H13" s="185">
        <v>177339000</v>
      </c>
      <c r="I13" s="20">
        <f>I12+Table14[[#This Row],[مبلغ ورود]]-Table14[[#This Row],[مبلغ خروج]]</f>
        <v>36924798400</v>
      </c>
      <c r="J13" s="216"/>
    </row>
    <row r="14" spans="1:10" ht="37.5">
      <c r="A14" s="1">
        <v>11</v>
      </c>
      <c r="B14" s="1" t="s">
        <v>1677</v>
      </c>
      <c r="C14" s="1">
        <v>343169</v>
      </c>
      <c r="D14" s="74" t="s">
        <v>938</v>
      </c>
      <c r="E14" s="74"/>
      <c r="F14" s="74" t="s">
        <v>1680</v>
      </c>
      <c r="H14" s="20">
        <v>3390000000</v>
      </c>
      <c r="I14" s="20">
        <f>I13+Table14[[#This Row],[مبلغ ورود]]-Table14[[#This Row],[مبلغ خروج]]</f>
        <v>33534798400</v>
      </c>
      <c r="J14" s="216"/>
    </row>
    <row r="15" spans="1:10" ht="63.75" customHeight="1">
      <c r="A15" s="1">
        <v>12</v>
      </c>
      <c r="B15" s="1" t="s">
        <v>1677</v>
      </c>
      <c r="C15" s="1">
        <v>343170</v>
      </c>
      <c r="D15" s="74" t="s">
        <v>938</v>
      </c>
      <c r="E15" s="74"/>
      <c r="F15" s="74" t="s">
        <v>1682</v>
      </c>
      <c r="H15" s="20">
        <v>495106050</v>
      </c>
      <c r="I15" s="20">
        <f>I14+Table14[[#This Row],[مبلغ ورود]]-Table14[[#This Row],[مبلغ خروج]]</f>
        <v>33039692350</v>
      </c>
      <c r="J15" s="216"/>
    </row>
    <row r="16" spans="1:10" ht="54.75" customHeight="1">
      <c r="A16" s="1">
        <v>13</v>
      </c>
      <c r="B16" s="1" t="s">
        <v>1677</v>
      </c>
      <c r="C16" s="1">
        <v>343171</v>
      </c>
      <c r="D16" s="74" t="s">
        <v>938</v>
      </c>
      <c r="E16" s="74"/>
      <c r="F16" s="74" t="s">
        <v>1683</v>
      </c>
      <c r="H16" s="20">
        <v>1117874520</v>
      </c>
      <c r="I16" s="20">
        <f>I15+Table14[[#This Row],[مبلغ ورود]]-Table14[[#This Row],[مبلغ خروج]]</f>
        <v>31921817830</v>
      </c>
      <c r="J16" s="216"/>
    </row>
    <row r="17" spans="1:10" ht="37.5">
      <c r="A17" s="1">
        <v>14</v>
      </c>
      <c r="B17" s="1" t="s">
        <v>1677</v>
      </c>
      <c r="C17" s="1"/>
      <c r="D17" s="74" t="s">
        <v>938</v>
      </c>
      <c r="E17" s="74"/>
      <c r="F17" s="197" t="s">
        <v>1681</v>
      </c>
      <c r="G17" s="73">
        <v>20000000000</v>
      </c>
      <c r="I17" s="20">
        <f>I16+Table14[[#This Row],[مبلغ ورود]]-Table14[[#This Row],[مبلغ خروج]]</f>
        <v>51921817830</v>
      </c>
      <c r="J17" s="216"/>
    </row>
    <row r="18" spans="1:10" ht="21">
      <c r="A18" s="1">
        <v>15</v>
      </c>
      <c r="B18" s="254"/>
      <c r="C18" s="1">
        <v>343172</v>
      </c>
      <c r="D18" s="252"/>
      <c r="E18" s="252"/>
      <c r="F18" s="197" t="s">
        <v>1604</v>
      </c>
      <c r="G18" s="253"/>
      <c r="I18" s="20">
        <f>I17+Table14[[#This Row],[مبلغ ورود]]-Table14[[#This Row],[مبلغ خروج]]</f>
        <v>51921817830</v>
      </c>
      <c r="J18" s="216"/>
    </row>
    <row r="19" spans="1:10" ht="21">
      <c r="A19" s="1">
        <v>16</v>
      </c>
      <c r="B19" s="254"/>
      <c r="C19" s="1">
        <v>343173</v>
      </c>
      <c r="D19" s="252"/>
      <c r="E19" s="252"/>
      <c r="F19" s="197" t="s">
        <v>1604</v>
      </c>
      <c r="G19" s="253"/>
      <c r="I19" s="20">
        <f>I18+Table14[[#This Row],[مبلغ ورود]]-Table14[[#This Row],[مبلغ خروج]]</f>
        <v>51921817830</v>
      </c>
      <c r="J19" s="216"/>
    </row>
    <row r="20" spans="1:10" ht="37.5">
      <c r="A20" s="1">
        <v>17</v>
      </c>
      <c r="B20" s="1" t="s">
        <v>1677</v>
      </c>
      <c r="C20" s="1">
        <v>343174</v>
      </c>
      <c r="D20" s="74" t="s">
        <v>938</v>
      </c>
      <c r="E20" s="74"/>
      <c r="F20" s="74" t="s">
        <v>1684</v>
      </c>
      <c r="H20" s="20">
        <v>309769094</v>
      </c>
      <c r="I20" s="20">
        <f>I19+Table14[[#This Row],[مبلغ ورود]]-Table14[[#This Row],[مبلغ خروج]]</f>
        <v>51612048736</v>
      </c>
      <c r="J20" s="216"/>
    </row>
    <row r="21" spans="1:10" ht="37.5">
      <c r="A21" s="1">
        <v>18</v>
      </c>
      <c r="B21" s="1" t="s">
        <v>1677</v>
      </c>
      <c r="C21" s="1">
        <v>343175</v>
      </c>
      <c r="D21" s="74" t="s">
        <v>938</v>
      </c>
      <c r="E21" s="74"/>
      <c r="F21" s="74" t="s">
        <v>1685</v>
      </c>
      <c r="H21" s="20">
        <v>140000000</v>
      </c>
      <c r="I21" s="20">
        <f>I20+Table14[[#This Row],[مبلغ ورود]]-Table14[[#This Row],[مبلغ خروج]]</f>
        <v>51472048736</v>
      </c>
      <c r="J21" s="216"/>
    </row>
    <row r="22" spans="1:10" ht="21">
      <c r="A22" s="1">
        <v>19</v>
      </c>
      <c r="B22" s="1" t="s">
        <v>1693</v>
      </c>
      <c r="C22" s="1"/>
      <c r="D22" s="74" t="s">
        <v>938</v>
      </c>
      <c r="E22" s="74"/>
      <c r="F22" s="74" t="s">
        <v>1691</v>
      </c>
      <c r="G22" s="20">
        <v>27080695000</v>
      </c>
      <c r="I22" s="20">
        <f>I21+Table14[[#This Row],[مبلغ ورود]]-Table14[[#This Row],[مبلغ خروج]]</f>
        <v>78552743736</v>
      </c>
      <c r="J22" s="216"/>
    </row>
    <row r="23" spans="1:10" ht="21">
      <c r="A23" s="1">
        <v>20</v>
      </c>
      <c r="B23" s="1" t="s">
        <v>1693</v>
      </c>
      <c r="C23" s="1"/>
      <c r="D23" s="74" t="s">
        <v>938</v>
      </c>
      <c r="E23" s="74"/>
      <c r="F23" s="74" t="s">
        <v>1692</v>
      </c>
      <c r="G23" s="20">
        <v>100000000000</v>
      </c>
      <c r="I23" s="20">
        <f>I22+Table14[[#This Row],[مبلغ ورود]]-Table14[[#This Row],[مبلغ خروج]]</f>
        <v>178552743736</v>
      </c>
      <c r="J23" s="216"/>
    </row>
    <row r="24" spans="1:10" ht="21">
      <c r="A24" s="1">
        <v>21</v>
      </c>
      <c r="B24" s="1" t="s">
        <v>1693</v>
      </c>
      <c r="C24" s="1"/>
      <c r="D24" s="74" t="s">
        <v>938</v>
      </c>
      <c r="E24" s="74"/>
      <c r="F24" s="74" t="s">
        <v>1694</v>
      </c>
      <c r="H24" s="20">
        <f>10642+7085+25000+223574</f>
        <v>266301</v>
      </c>
      <c r="I24" s="20">
        <f>I23+Table14[[#This Row],[مبلغ ورود]]-Table14[[#This Row],[مبلغ خروج]]</f>
        <v>178552477435</v>
      </c>
      <c r="J24" s="216"/>
    </row>
    <row r="25" spans="1:10" ht="21">
      <c r="A25" s="1">
        <v>23</v>
      </c>
      <c r="B25" s="1" t="s">
        <v>1695</v>
      </c>
      <c r="C25" s="1"/>
      <c r="D25" s="74" t="s">
        <v>938</v>
      </c>
      <c r="E25" s="74"/>
      <c r="F25" s="74" t="s">
        <v>1692</v>
      </c>
      <c r="G25" s="73">
        <v>150000000000</v>
      </c>
      <c r="I25" s="20">
        <f>I24+Table14[[#This Row],[مبلغ ورود]]-Table14[[#This Row],[مبلغ خروج]]</f>
        <v>328552477435</v>
      </c>
      <c r="J25" s="216"/>
    </row>
    <row r="26" spans="1:10" ht="37.5">
      <c r="A26" s="1">
        <v>24</v>
      </c>
      <c r="B26" s="186" t="s">
        <v>1696</v>
      </c>
      <c r="C26" s="1">
        <v>343176</v>
      </c>
      <c r="D26" s="74" t="s">
        <v>938</v>
      </c>
      <c r="E26" s="74"/>
      <c r="F26" s="222" t="s">
        <v>1586</v>
      </c>
      <c r="H26" s="20">
        <v>25000000000</v>
      </c>
      <c r="I26" s="20">
        <f>I25+Table14[[#This Row],[مبلغ ورود]]-Table14[[#This Row],[مبلغ خروج]]</f>
        <v>303552477435</v>
      </c>
      <c r="J26" s="216"/>
    </row>
    <row r="27" spans="1:10" ht="37.5">
      <c r="A27" s="1">
        <v>25</v>
      </c>
      <c r="B27" s="186" t="s">
        <v>1696</v>
      </c>
      <c r="C27" s="1">
        <v>343177</v>
      </c>
      <c r="D27" s="74" t="s">
        <v>938</v>
      </c>
      <c r="E27" s="74"/>
      <c r="F27" s="222" t="s">
        <v>1586</v>
      </c>
      <c r="H27" s="20">
        <v>250000000000</v>
      </c>
      <c r="I27" s="20">
        <f>I26+Table14[[#This Row],[مبلغ ورود]]-Table14[[#This Row],[مبلغ خروج]]</f>
        <v>53552477435</v>
      </c>
      <c r="J27" s="216"/>
    </row>
    <row r="28" spans="1:10" ht="37.5">
      <c r="A28" s="1">
        <v>26</v>
      </c>
      <c r="B28" s="186" t="s">
        <v>1696</v>
      </c>
      <c r="C28" s="1">
        <v>343178</v>
      </c>
      <c r="D28" s="74" t="s">
        <v>938</v>
      </c>
      <c r="E28" s="74"/>
      <c r="F28" s="74" t="s">
        <v>1697</v>
      </c>
      <c r="H28" s="20">
        <v>344627813</v>
      </c>
      <c r="I28" s="20">
        <f>I27+Table14[[#This Row],[مبلغ ورود]]-Table14[[#This Row],[مبلغ خروج]]</f>
        <v>53207849622</v>
      </c>
      <c r="J28" s="216"/>
    </row>
    <row r="29" spans="1:10" ht="37.5">
      <c r="A29" s="1">
        <v>27</v>
      </c>
      <c r="B29" s="186" t="s">
        <v>1696</v>
      </c>
      <c r="C29" s="1">
        <v>343179</v>
      </c>
      <c r="D29" s="74" t="s">
        <v>938</v>
      </c>
      <c r="E29" s="74"/>
      <c r="F29" s="74" t="s">
        <v>1698</v>
      </c>
      <c r="H29" s="20">
        <v>180000000</v>
      </c>
      <c r="I29" s="20">
        <f>I28+Table14[[#This Row],[مبلغ ورود]]-Table14[[#This Row],[مبلغ خروج]]</f>
        <v>53027849622</v>
      </c>
      <c r="J29" s="216"/>
    </row>
    <row r="30" spans="1:10" ht="37.5">
      <c r="A30" s="1">
        <v>28</v>
      </c>
      <c r="B30" s="186" t="s">
        <v>1696</v>
      </c>
      <c r="C30" s="1">
        <v>343180</v>
      </c>
      <c r="D30" s="74" t="s">
        <v>938</v>
      </c>
      <c r="E30" s="74"/>
      <c r="F30" s="74" t="s">
        <v>1699</v>
      </c>
      <c r="H30" s="20">
        <v>130438340</v>
      </c>
      <c r="I30" s="20">
        <f>I29+Table14[[#This Row],[مبلغ ورود]]-Table14[[#This Row],[مبلغ خروج]]</f>
        <v>52897411282</v>
      </c>
      <c r="J30" s="216"/>
    </row>
    <row r="31" spans="1:10" ht="21">
      <c r="A31" s="1">
        <v>29</v>
      </c>
      <c r="B31" s="186" t="s">
        <v>1696</v>
      </c>
      <c r="C31" s="1">
        <v>343181</v>
      </c>
      <c r="D31" s="197" t="s">
        <v>938</v>
      </c>
      <c r="E31" s="197"/>
      <c r="F31" s="197" t="s">
        <v>1604</v>
      </c>
      <c r="G31" s="214"/>
      <c r="H31" s="196"/>
      <c r="I31" s="20">
        <f>I30+Table14[[#This Row],[مبلغ ورود]]-Table14[[#This Row],[مبلغ خروج]]</f>
        <v>52897411282</v>
      </c>
      <c r="J31" s="257" t="s">
        <v>1707</v>
      </c>
    </row>
    <row r="32" spans="1:10" ht="21">
      <c r="A32" s="1"/>
      <c r="B32" s="186" t="s">
        <v>1702</v>
      </c>
      <c r="C32" s="1"/>
      <c r="F32" s="74" t="s">
        <v>1561</v>
      </c>
      <c r="H32" s="20">
        <f>250000+250000+250000+50000+35467</f>
        <v>835467</v>
      </c>
      <c r="I32" s="20">
        <f>I31+Table14[[#This Row],[مبلغ ورود]]-Table14[[#This Row],[مبلغ خروج]]</f>
        <v>52896575815</v>
      </c>
      <c r="J32" s="216"/>
    </row>
    <row r="33" spans="1:10" ht="56.25">
      <c r="A33" s="1">
        <v>30</v>
      </c>
      <c r="B33" s="186" t="s">
        <v>1700</v>
      </c>
      <c r="C33" s="1">
        <v>343182</v>
      </c>
      <c r="D33" s="74" t="s">
        <v>938</v>
      </c>
      <c r="E33" s="74"/>
      <c r="F33" s="74" t="s">
        <v>1701</v>
      </c>
      <c r="G33" s="256"/>
      <c r="H33" s="20">
        <v>51408903</v>
      </c>
      <c r="I33" s="20">
        <f>I32+Table14[[#This Row],[مبلغ ورود]]-Table14[[#This Row],[مبلغ خروج]]</f>
        <v>52845166912</v>
      </c>
      <c r="J33" s="216"/>
    </row>
    <row r="34" spans="1:10" ht="37.5">
      <c r="A34" s="255">
        <v>31</v>
      </c>
      <c r="B34" s="186" t="s">
        <v>1703</v>
      </c>
      <c r="C34" s="255">
        <v>343183</v>
      </c>
      <c r="D34" s="74" t="s">
        <v>938</v>
      </c>
      <c r="E34" s="74"/>
      <c r="F34" s="74" t="s">
        <v>1704</v>
      </c>
      <c r="G34" s="256"/>
      <c r="H34" s="20">
        <v>6810977643</v>
      </c>
      <c r="I34" s="20">
        <f>I33+Table14[[#This Row],[مبلغ ورود]]-Table14[[#This Row],[مبلغ خروج]]</f>
        <v>46034189269</v>
      </c>
      <c r="J34" s="216"/>
    </row>
    <row r="35" spans="1:10" ht="56.25">
      <c r="A35" s="255">
        <v>32</v>
      </c>
      <c r="B35" s="186" t="s">
        <v>1703</v>
      </c>
      <c r="C35" s="255">
        <v>343184</v>
      </c>
      <c r="D35" s="74" t="s">
        <v>938</v>
      </c>
      <c r="E35" s="74"/>
      <c r="F35" s="74" t="s">
        <v>1705</v>
      </c>
      <c r="G35" s="256"/>
      <c r="H35" s="20">
        <v>88228000</v>
      </c>
      <c r="I35" s="20">
        <f>I34+Table14[[#This Row],[مبلغ ورود]]-Table14[[#This Row],[مبلغ خروج]]</f>
        <v>45945961269</v>
      </c>
      <c r="J35" s="216"/>
    </row>
    <row r="36" spans="1:10" ht="37.5">
      <c r="A36" s="255">
        <v>33</v>
      </c>
      <c r="B36" s="186" t="s">
        <v>1703</v>
      </c>
      <c r="C36" s="255">
        <v>343185</v>
      </c>
      <c r="D36" s="74" t="s">
        <v>938</v>
      </c>
      <c r="E36" s="74"/>
      <c r="F36" s="74" t="s">
        <v>1706</v>
      </c>
      <c r="G36" s="256"/>
      <c r="H36" s="20">
        <v>949761575</v>
      </c>
      <c r="I36" s="20">
        <f>I35+Table14[[#This Row],[مبلغ ورود]]-Table14[[#This Row],[مبلغ خروج]]</f>
        <v>44996199694</v>
      </c>
      <c r="J36" s="216"/>
    </row>
    <row r="37" spans="1:10" ht="21">
      <c r="A37" s="255">
        <v>34</v>
      </c>
      <c r="B37" s="186" t="s">
        <v>1703</v>
      </c>
      <c r="C37" s="1"/>
      <c r="D37" s="74" t="s">
        <v>938</v>
      </c>
      <c r="E37" s="74"/>
      <c r="F37" s="74" t="s">
        <v>1709</v>
      </c>
      <c r="H37" s="20">
        <f>250000+420000</f>
        <v>670000</v>
      </c>
      <c r="I37" s="20">
        <f>I36+Table14[[#This Row],[مبلغ ورود]]-Table14[[#This Row],[مبلغ خروج]]</f>
        <v>44995529694</v>
      </c>
      <c r="J37" s="216"/>
    </row>
    <row r="38" spans="1:10" ht="21">
      <c r="A38" s="255">
        <v>35</v>
      </c>
      <c r="B38" s="186" t="s">
        <v>1708</v>
      </c>
      <c r="C38" s="255"/>
      <c r="D38" s="74" t="s">
        <v>938</v>
      </c>
      <c r="E38" s="74"/>
      <c r="F38" s="74" t="s">
        <v>1583</v>
      </c>
      <c r="G38" s="256">
        <v>120000000000</v>
      </c>
      <c r="I38" s="20">
        <f>I37+Table14[[#This Row],[مبلغ ورود]]-Table14[[#This Row],[مبلغ خروج]]</f>
        <v>164995529694</v>
      </c>
      <c r="J38" s="216"/>
    </row>
    <row r="39" spans="1:10" ht="21">
      <c r="A39" s="255">
        <v>36</v>
      </c>
      <c r="B39" s="186" t="s">
        <v>1721</v>
      </c>
      <c r="C39" s="258"/>
      <c r="D39" s="74" t="s">
        <v>938</v>
      </c>
      <c r="E39" s="74"/>
      <c r="F39" s="74" t="s">
        <v>1561</v>
      </c>
      <c r="G39" s="259"/>
      <c r="H39" s="20">
        <f>250000+189952</f>
        <v>439952</v>
      </c>
      <c r="I39" s="20">
        <f>I38+Table14[[#This Row],[مبلغ ورود]]-Table14[[#This Row],[مبلغ خروج]]</f>
        <v>164995089742</v>
      </c>
      <c r="J39" s="216"/>
    </row>
    <row r="40" spans="1:10" ht="21">
      <c r="A40" s="255">
        <v>37</v>
      </c>
      <c r="B40" s="186" t="s">
        <v>1719</v>
      </c>
      <c r="C40" s="258"/>
      <c r="D40" s="74" t="s">
        <v>938</v>
      </c>
      <c r="E40" s="74"/>
      <c r="F40" s="74" t="s">
        <v>1720</v>
      </c>
      <c r="G40" s="256">
        <v>32375432</v>
      </c>
      <c r="I40" s="20">
        <f>I39+Table14[[#This Row],[مبلغ ورود]]-Table14[[#This Row],[مبلغ خروج]]</f>
        <v>165027465174</v>
      </c>
      <c r="J40" s="216"/>
    </row>
    <row r="41" spans="1:10" ht="21">
      <c r="A41" s="258"/>
      <c r="B41" s="186" t="s">
        <v>1719</v>
      </c>
      <c r="C41" s="258"/>
      <c r="D41" s="74" t="s">
        <v>938</v>
      </c>
      <c r="E41" s="74"/>
      <c r="F41" s="74" t="s">
        <v>1722</v>
      </c>
      <c r="G41" s="259"/>
      <c r="H41" s="20">
        <f>3000</f>
        <v>3000</v>
      </c>
      <c r="I41" s="20">
        <f>I40+Table14[[#This Row],[مبلغ ورود]]-Table14[[#This Row],[مبلغ خروج]]</f>
        <v>165027462174</v>
      </c>
      <c r="J41" s="216"/>
    </row>
    <row r="42" spans="1:10" ht="56.25">
      <c r="A42" s="255">
        <v>38</v>
      </c>
      <c r="B42" s="186" t="s">
        <v>1710</v>
      </c>
      <c r="C42" s="255">
        <v>343186</v>
      </c>
      <c r="D42" s="74" t="s">
        <v>938</v>
      </c>
      <c r="E42" s="74"/>
      <c r="F42" s="74" t="s">
        <v>1711</v>
      </c>
      <c r="G42" s="256"/>
      <c r="H42" s="20">
        <v>81904407</v>
      </c>
      <c r="I42" s="20">
        <f>I41+Table14[[#This Row],[مبلغ ورود]]-Table14[[#This Row],[مبلغ خروج]]</f>
        <v>164945557767</v>
      </c>
      <c r="J42" s="216"/>
    </row>
    <row r="43" spans="1:10" ht="21">
      <c r="A43" s="255">
        <v>39</v>
      </c>
      <c r="B43" s="186" t="s">
        <v>1712</v>
      </c>
      <c r="C43" s="255">
        <v>343187</v>
      </c>
      <c r="D43" s="74" t="s">
        <v>938</v>
      </c>
      <c r="E43" s="74"/>
      <c r="F43" s="74" t="s">
        <v>1713</v>
      </c>
      <c r="G43" s="256"/>
      <c r="H43" s="20">
        <v>86024677</v>
      </c>
      <c r="I43" s="20">
        <f>I42+Table14[[#This Row],[مبلغ ورود]]-Table14[[#This Row],[مبلغ خروج]]</f>
        <v>164859533090</v>
      </c>
      <c r="J43" s="216"/>
    </row>
    <row r="44" spans="1:10" ht="21">
      <c r="A44" s="255">
        <v>40</v>
      </c>
      <c r="B44" s="186" t="s">
        <v>1712</v>
      </c>
      <c r="C44" s="255">
        <v>343188</v>
      </c>
      <c r="D44" s="74" t="s">
        <v>938</v>
      </c>
      <c r="E44" s="74"/>
      <c r="F44" s="74" t="s">
        <v>1593</v>
      </c>
      <c r="G44" s="256"/>
      <c r="H44" s="20">
        <v>5000000000</v>
      </c>
      <c r="I44" s="20">
        <f>I43+Table14[[#This Row],[مبلغ ورود]]-Table14[[#This Row],[مبلغ خروج]]</f>
        <v>159859533090</v>
      </c>
      <c r="J44" s="216"/>
    </row>
    <row r="45" spans="1:10" ht="21">
      <c r="A45" s="255">
        <v>41</v>
      </c>
      <c r="B45" s="186" t="s">
        <v>1712</v>
      </c>
      <c r="C45" s="255">
        <v>343189</v>
      </c>
      <c r="D45" s="74" t="s">
        <v>938</v>
      </c>
      <c r="E45" s="74"/>
      <c r="F45" s="74" t="s">
        <v>1714</v>
      </c>
      <c r="G45" s="256"/>
      <c r="H45" s="20">
        <v>496778873</v>
      </c>
      <c r="I45" s="20">
        <f>I44+Table14[[#This Row],[مبلغ ورود]]-Table14[[#This Row],[مبلغ خروج]]</f>
        <v>159362754217</v>
      </c>
      <c r="J45" s="216"/>
    </row>
    <row r="46" spans="1:10" ht="21">
      <c r="A46" s="258"/>
      <c r="B46" s="186" t="s">
        <v>1712</v>
      </c>
      <c r="C46" s="258"/>
      <c r="D46" s="74" t="s">
        <v>938</v>
      </c>
      <c r="E46" s="74"/>
      <c r="F46" s="74" t="s">
        <v>1723</v>
      </c>
      <c r="G46" s="259"/>
      <c r="H46" s="20">
        <f>18000+24000+250000</f>
        <v>292000</v>
      </c>
      <c r="I46" s="20">
        <f>I45+Table14[[#This Row],[مبلغ ورود]]-Table14[[#This Row],[مبلغ خروج]]</f>
        <v>159362462217</v>
      </c>
      <c r="J46" s="216"/>
    </row>
    <row r="47" spans="1:10" ht="37.5">
      <c r="A47" s="255">
        <v>42</v>
      </c>
      <c r="B47" s="186" t="s">
        <v>1715</v>
      </c>
      <c r="C47" s="255">
        <v>343190</v>
      </c>
      <c r="D47" s="74" t="s">
        <v>938</v>
      </c>
      <c r="E47" s="74"/>
      <c r="F47" s="74" t="s">
        <v>1622</v>
      </c>
      <c r="G47" s="256"/>
      <c r="H47" s="20">
        <v>16000000000</v>
      </c>
      <c r="I47" s="20">
        <f>I46+Table14[[#This Row],[مبلغ ورود]]-Table14[[#This Row],[مبلغ خروج]]</f>
        <v>143362462217</v>
      </c>
      <c r="J47" s="216"/>
    </row>
    <row r="48" spans="1:10" ht="21">
      <c r="A48" s="258"/>
      <c r="B48" s="186" t="s">
        <v>1716</v>
      </c>
      <c r="C48" s="258"/>
      <c r="D48" s="74" t="s">
        <v>938</v>
      </c>
      <c r="E48" s="74"/>
      <c r="F48" s="74" t="s">
        <v>1583</v>
      </c>
      <c r="G48" s="20">
        <v>100000000000</v>
      </c>
      <c r="I48" s="20">
        <f>I47+Table14[[#This Row],[مبلغ ورود]]-Table14[[#This Row],[مبلغ خروج]]</f>
        <v>243362462217</v>
      </c>
      <c r="J48" s="216"/>
    </row>
    <row r="49" spans="1:10" ht="56.25">
      <c r="A49" s="255">
        <v>43</v>
      </c>
      <c r="B49" s="186" t="s">
        <v>1716</v>
      </c>
      <c r="C49" s="1">
        <v>343191</v>
      </c>
      <c r="D49" s="74" t="s">
        <v>938</v>
      </c>
      <c r="E49" s="74"/>
      <c r="F49" s="74" t="s">
        <v>1717</v>
      </c>
      <c r="H49" s="20">
        <f>45941480+70280000</f>
        <v>116221480</v>
      </c>
      <c r="I49" s="20">
        <f>I48+Table14[[#This Row],[مبلغ ورود]]-Table14[[#This Row],[مبلغ خروج]]</f>
        <v>243246240737</v>
      </c>
      <c r="J49" s="216"/>
    </row>
    <row r="50" spans="1:10" ht="37.5">
      <c r="A50" s="255">
        <v>44</v>
      </c>
      <c r="B50" s="186" t="s">
        <v>1716</v>
      </c>
      <c r="C50" s="1">
        <v>343192</v>
      </c>
      <c r="D50" s="74" t="s">
        <v>938</v>
      </c>
      <c r="E50" s="74"/>
      <c r="F50" s="74" t="s">
        <v>1622</v>
      </c>
      <c r="H50" s="20">
        <v>10000000000</v>
      </c>
      <c r="I50" s="20">
        <f>I49+Table14[[#This Row],[مبلغ ورود]]-Table14[[#This Row],[مبلغ خروج]]</f>
        <v>233246240737</v>
      </c>
      <c r="J50" s="216"/>
    </row>
    <row r="51" spans="1:10" ht="21">
      <c r="A51" s="255">
        <v>45</v>
      </c>
      <c r="B51" s="186" t="s">
        <v>1716</v>
      </c>
      <c r="C51" s="1">
        <v>343193</v>
      </c>
      <c r="D51" s="74" t="s">
        <v>938</v>
      </c>
      <c r="E51" s="74"/>
      <c r="F51" s="74" t="s">
        <v>1718</v>
      </c>
      <c r="G51" s="20"/>
      <c r="H51" s="20">
        <v>289962482</v>
      </c>
      <c r="I51" s="20">
        <f>I50+Table14[[#This Row],[مبلغ ورود]]-Table14[[#This Row],[مبلغ خروج]]</f>
        <v>232956278255</v>
      </c>
      <c r="J51" s="216"/>
    </row>
    <row r="52" spans="1:10" ht="21">
      <c r="A52" s="255">
        <v>46</v>
      </c>
      <c r="B52" s="186" t="s">
        <v>1724</v>
      </c>
      <c r="C52" s="1"/>
      <c r="D52" s="74" t="s">
        <v>938</v>
      </c>
      <c r="E52" s="74"/>
      <c r="F52" s="74" t="s">
        <v>1725</v>
      </c>
      <c r="G52" s="20">
        <v>320102673</v>
      </c>
      <c r="I52" s="20">
        <f>I51+Table14[[#This Row],[مبلغ ورود]]-Table14[[#This Row],[مبلغ خروج]]</f>
        <v>233276380928</v>
      </c>
      <c r="J52" s="216"/>
    </row>
    <row r="53" spans="1:10" ht="21">
      <c r="A53" s="255">
        <v>47</v>
      </c>
      <c r="B53" s="186" t="s">
        <v>1726</v>
      </c>
      <c r="C53" s="1"/>
      <c r="D53" s="74" t="s">
        <v>938</v>
      </c>
      <c r="E53" s="74"/>
      <c r="F53" s="74" t="s">
        <v>1561</v>
      </c>
      <c r="G53" s="20"/>
      <c r="H53" s="20">
        <f>250000</f>
        <v>250000</v>
      </c>
      <c r="I53" s="20">
        <f>I52+Table14[[#This Row],[مبلغ ورود]]-Table14[[#This Row],[مبلغ خروج]]</f>
        <v>233276130928</v>
      </c>
      <c r="J53" s="216"/>
    </row>
    <row r="54" spans="1:10" ht="21">
      <c r="A54" s="255">
        <v>48</v>
      </c>
      <c r="B54" s="186" t="s">
        <v>1726</v>
      </c>
      <c r="C54" s="1"/>
      <c r="D54" s="74" t="s">
        <v>938</v>
      </c>
      <c r="E54" s="74"/>
      <c r="F54" s="74" t="s">
        <v>1727</v>
      </c>
      <c r="G54" s="20"/>
      <c r="H54" s="20">
        <v>210000</v>
      </c>
      <c r="I54" s="20">
        <f>I53+Table14[[#This Row],[مبلغ ورود]]-Table14[[#This Row],[مبلغ خروج]]</f>
        <v>233275920928</v>
      </c>
      <c r="J54" s="216"/>
    </row>
    <row r="55" spans="1:10" ht="21">
      <c r="A55" s="255">
        <v>49</v>
      </c>
      <c r="B55" s="186" t="s">
        <v>1726</v>
      </c>
      <c r="C55" s="1"/>
      <c r="D55" s="74" t="s">
        <v>938</v>
      </c>
      <c r="E55" s="74"/>
      <c r="F55" s="74" t="s">
        <v>1728</v>
      </c>
      <c r="G55" s="73">
        <v>210000</v>
      </c>
      <c r="I55" s="20">
        <f>I54+Table14[[#This Row],[مبلغ ورود]]-Table14[[#This Row],[مبلغ خروج]]</f>
        <v>233276130928</v>
      </c>
      <c r="J55" s="216"/>
    </row>
    <row r="56" spans="1:10" ht="21">
      <c r="A56" s="255">
        <v>50</v>
      </c>
      <c r="B56" s="186" t="s">
        <v>1726</v>
      </c>
      <c r="C56" s="1"/>
      <c r="D56" s="74" t="s">
        <v>938</v>
      </c>
      <c r="E56" s="74"/>
      <c r="F56" s="74" t="s">
        <v>1727</v>
      </c>
      <c r="H56" s="20">
        <v>21000</v>
      </c>
      <c r="I56" s="20">
        <f>I55+Table14[[#This Row],[مبلغ ورود]]-Table14[[#This Row],[مبلغ خروج]]</f>
        <v>233276109928</v>
      </c>
      <c r="J56" s="216"/>
    </row>
    <row r="57" spans="1:10" ht="21">
      <c r="A57" s="255">
        <v>51</v>
      </c>
      <c r="B57" s="186" t="s">
        <v>1730</v>
      </c>
      <c r="C57" s="1">
        <v>343194</v>
      </c>
      <c r="D57" s="74" t="s">
        <v>938</v>
      </c>
      <c r="E57" s="74"/>
      <c r="F57" s="74" t="s">
        <v>1729</v>
      </c>
      <c r="H57" s="73">
        <v>50000000000</v>
      </c>
      <c r="I57" s="20">
        <f>I56+Table14[[#This Row],[مبلغ ورود]]-Table14[[#This Row],[مبلغ خروج]]</f>
        <v>183276109928</v>
      </c>
      <c r="J57" s="216"/>
    </row>
    <row r="58" spans="1:10" ht="21">
      <c r="A58" s="255">
        <v>52</v>
      </c>
      <c r="B58" s="186" t="s">
        <v>1730</v>
      </c>
      <c r="C58" s="1">
        <v>343195</v>
      </c>
      <c r="D58" s="74" t="s">
        <v>938</v>
      </c>
      <c r="E58" s="74"/>
      <c r="F58" s="74" t="s">
        <v>1731</v>
      </c>
      <c r="H58" s="20">
        <v>840182502</v>
      </c>
      <c r="I58" s="20">
        <f>I57+Table14[[#This Row],[مبلغ ورود]]-Table14[[#This Row],[مبلغ خروج]]</f>
        <v>182435927426</v>
      </c>
      <c r="J58" s="216"/>
    </row>
    <row r="59" spans="1:10" ht="21">
      <c r="A59" s="255">
        <v>53</v>
      </c>
      <c r="B59" s="186" t="s">
        <v>1730</v>
      </c>
      <c r="C59" s="258">
        <v>343196</v>
      </c>
      <c r="D59" s="74" t="s">
        <v>938</v>
      </c>
      <c r="E59" s="74"/>
      <c r="F59" s="74" t="s">
        <v>1733</v>
      </c>
      <c r="G59" s="259"/>
      <c r="H59" s="20">
        <v>328777350</v>
      </c>
      <c r="I59" s="20">
        <f>I58+Table14[[#This Row],[مبلغ ورود]]-Table14[[#This Row],[مبلغ خروج]]</f>
        <v>182107150076</v>
      </c>
      <c r="J59" s="216"/>
    </row>
    <row r="60" spans="1:10" ht="21">
      <c r="A60" s="255">
        <v>54</v>
      </c>
      <c r="B60" s="186" t="s">
        <v>1730</v>
      </c>
      <c r="C60" s="258">
        <v>343197</v>
      </c>
      <c r="D60" s="74" t="s">
        <v>938</v>
      </c>
      <c r="E60" s="74"/>
      <c r="F60" s="151" t="s">
        <v>1732</v>
      </c>
      <c r="G60" s="259"/>
      <c r="H60" s="20">
        <v>3500000000</v>
      </c>
      <c r="I60" s="20">
        <f>I59+Table14[[#This Row],[مبلغ ورود]]-Table14[[#This Row],[مبلغ خروج]]</f>
        <v>178607150076</v>
      </c>
      <c r="J60" s="216"/>
    </row>
    <row r="61" spans="1:10" ht="21">
      <c r="A61" s="255">
        <v>55</v>
      </c>
      <c r="B61" s="186" t="s">
        <v>1730</v>
      </c>
      <c r="C61" s="258">
        <v>343198</v>
      </c>
      <c r="D61" s="74" t="s">
        <v>938</v>
      </c>
      <c r="E61" s="74"/>
      <c r="F61" s="74" t="s">
        <v>1593</v>
      </c>
      <c r="G61" s="259"/>
      <c r="H61" s="20">
        <v>6000000000</v>
      </c>
      <c r="I61" s="20">
        <f>I60+Table14[[#This Row],[مبلغ ورود]]-Table14[[#This Row],[مبلغ خروج]]</f>
        <v>172607150076</v>
      </c>
      <c r="J61" s="216"/>
    </row>
    <row r="62" spans="1:10" ht="21">
      <c r="A62" s="255">
        <v>56</v>
      </c>
      <c r="B62" s="261" t="s">
        <v>1736</v>
      </c>
      <c r="C62" s="1"/>
      <c r="D62" s="74" t="s">
        <v>938</v>
      </c>
      <c r="E62" s="74"/>
      <c r="F62" s="74" t="s">
        <v>1561</v>
      </c>
      <c r="H62" s="20">
        <v>250000</v>
      </c>
      <c r="I62" s="20">
        <f>I61+Table14[[#This Row],[مبلغ ورود]]-Table14[[#This Row],[مبلغ خروج]]</f>
        <v>172606900076</v>
      </c>
      <c r="J62" s="216"/>
    </row>
    <row r="63" spans="1:10" ht="21">
      <c r="A63" s="255">
        <v>57</v>
      </c>
      <c r="B63" s="261" t="s">
        <v>1735</v>
      </c>
      <c r="C63" s="258"/>
      <c r="D63" s="74" t="s">
        <v>938</v>
      </c>
      <c r="E63" s="74"/>
      <c r="F63" s="74" t="s">
        <v>1734</v>
      </c>
      <c r="G63" s="20">
        <v>1262593402</v>
      </c>
      <c r="I63" s="20">
        <f>I62+Table14[[#This Row],[مبلغ ورود]]-Table14[[#This Row],[مبلغ خروج]]</f>
        <v>173869493478</v>
      </c>
      <c r="J63" s="216"/>
    </row>
    <row r="64" spans="1:10" ht="21">
      <c r="A64" s="255">
        <v>58</v>
      </c>
      <c r="B64" s="261" t="s">
        <v>1737</v>
      </c>
      <c r="C64" s="258">
        <v>343199</v>
      </c>
      <c r="D64" s="74" t="s">
        <v>938</v>
      </c>
      <c r="E64" s="74"/>
      <c r="F64" s="74" t="s">
        <v>1729</v>
      </c>
      <c r="G64" s="259"/>
      <c r="H64" s="20">
        <v>100000000000</v>
      </c>
      <c r="I64" s="20">
        <f>I63+Table14[[#This Row],[مبلغ ورود]]-Table14[[#This Row],[مبلغ خروج]]</f>
        <v>73869493478</v>
      </c>
      <c r="J64" s="216"/>
    </row>
    <row r="65" spans="1:10" ht="21">
      <c r="A65" s="255">
        <v>59</v>
      </c>
      <c r="B65" s="261" t="s">
        <v>1740</v>
      </c>
      <c r="C65" s="1"/>
      <c r="D65" s="74" t="s">
        <v>938</v>
      </c>
      <c r="E65" s="74"/>
      <c r="F65" s="74" t="s">
        <v>1561</v>
      </c>
      <c r="H65" s="20">
        <v>250000</v>
      </c>
      <c r="I65" s="20">
        <f>I64+Table14[[#This Row],[مبلغ ورود]]-Table14[[#This Row],[مبلغ خروج]]</f>
        <v>73869243478</v>
      </c>
      <c r="J65" s="216"/>
    </row>
    <row r="66" spans="1:10" ht="21">
      <c r="A66" s="255">
        <v>60</v>
      </c>
      <c r="B66" s="261" t="s">
        <v>1738</v>
      </c>
      <c r="C66" s="258">
        <v>343200</v>
      </c>
      <c r="D66" s="74" t="s">
        <v>938</v>
      </c>
      <c r="E66" s="74"/>
      <c r="F66" s="74" t="s">
        <v>1739</v>
      </c>
      <c r="G66" s="259"/>
      <c r="H66" s="20">
        <v>120000000</v>
      </c>
      <c r="I66" s="20">
        <f>I65+Table14[[#This Row],[مبلغ ورود]]-Table14[[#This Row],[مبلغ خروج]]</f>
        <v>73749243478</v>
      </c>
      <c r="J66" s="216"/>
    </row>
    <row r="67" spans="1:10" ht="21">
      <c r="A67" s="255">
        <v>61</v>
      </c>
      <c r="B67" s="261" t="s">
        <v>1738</v>
      </c>
      <c r="C67" s="258"/>
      <c r="D67" s="74" t="s">
        <v>938</v>
      </c>
      <c r="E67" s="74"/>
      <c r="F67" s="74" t="s">
        <v>1741</v>
      </c>
      <c r="G67" s="259"/>
      <c r="H67" s="20">
        <v>110000</v>
      </c>
      <c r="I67" s="20">
        <f>I66+Table14[[#This Row],[مبلغ ورود]]-Table14[[#This Row],[مبلغ خروج]]</f>
        <v>73749133478</v>
      </c>
      <c r="J67" s="216"/>
    </row>
    <row r="68" spans="1:10" ht="21">
      <c r="A68" s="255">
        <v>62</v>
      </c>
      <c r="B68" s="261" t="s">
        <v>1742</v>
      </c>
      <c r="C68" s="258"/>
      <c r="D68" s="74" t="s">
        <v>938</v>
      </c>
      <c r="E68" s="74"/>
      <c r="F68" s="74" t="s">
        <v>1583</v>
      </c>
      <c r="G68" s="259">
        <v>200000000000</v>
      </c>
      <c r="I68" s="20">
        <f>I67+Table14[[#This Row],[مبلغ ورود]]-Table14[[#This Row],[مبلغ خروج]]</f>
        <v>273749133478</v>
      </c>
      <c r="J68" s="216"/>
    </row>
    <row r="69" spans="1:10" ht="21">
      <c r="A69" s="255">
        <v>63</v>
      </c>
      <c r="B69" s="260" t="s">
        <v>1744</v>
      </c>
      <c r="C69" s="258"/>
      <c r="D69" s="74" t="s">
        <v>938</v>
      </c>
      <c r="E69" s="74"/>
      <c r="F69" s="74" t="s">
        <v>1743</v>
      </c>
      <c r="G69" s="259">
        <v>29190931</v>
      </c>
      <c r="I69" s="20">
        <f>I68+Table14[[#This Row],[مبلغ ورود]]-Table14[[#This Row],[مبلغ خروج]]</f>
        <v>273778324409</v>
      </c>
      <c r="J69" s="216"/>
    </row>
    <row r="70" spans="1:10" ht="21">
      <c r="A70" s="255">
        <v>64</v>
      </c>
      <c r="B70" s="260" t="s">
        <v>1744</v>
      </c>
      <c r="C70" s="258"/>
      <c r="D70" s="74" t="s">
        <v>938</v>
      </c>
      <c r="E70" s="74"/>
      <c r="F70" s="74" t="s">
        <v>1743</v>
      </c>
      <c r="G70" s="259">
        <v>170408000</v>
      </c>
      <c r="I70" s="20">
        <f>I69+Table14[[#This Row],[مبلغ ورود]]-Table14[[#This Row],[مبلغ خروج]]</f>
        <v>273948732409</v>
      </c>
      <c r="J70" s="216"/>
    </row>
    <row r="71" spans="1:10" ht="21">
      <c r="A71" s="255">
        <v>65</v>
      </c>
      <c r="B71" s="186" t="s">
        <v>1746</v>
      </c>
      <c r="C71" s="1"/>
      <c r="D71" s="74" t="s">
        <v>938</v>
      </c>
      <c r="E71" s="74"/>
      <c r="F71" s="74" t="s">
        <v>1745</v>
      </c>
      <c r="H71" s="20">
        <v>90000</v>
      </c>
      <c r="I71" s="20">
        <f>I70+Table14[[#This Row],[مبلغ ورود]]-Table14[[#This Row],[مبلغ خروج]]</f>
        <v>273948642409</v>
      </c>
      <c r="J71" s="216"/>
    </row>
    <row r="72" spans="1:10" ht="21">
      <c r="A72" s="255">
        <v>66</v>
      </c>
      <c r="B72" s="186" t="s">
        <v>1748</v>
      </c>
      <c r="C72" s="1"/>
      <c r="D72" s="74" t="s">
        <v>938</v>
      </c>
      <c r="E72" s="74"/>
      <c r="F72" s="74" t="s">
        <v>1747</v>
      </c>
      <c r="H72" s="20">
        <v>6000</v>
      </c>
      <c r="I72" s="20">
        <f>I71+Table14[[#This Row],[مبلغ ورود]]-Table14[[#This Row],[مبلغ خروج]]</f>
        <v>273948636409</v>
      </c>
      <c r="J72" s="216"/>
    </row>
    <row r="73" spans="1:10" ht="21">
      <c r="A73" s="255">
        <v>67</v>
      </c>
      <c r="B73" s="186" t="s">
        <v>1749</v>
      </c>
      <c r="C73" s="1"/>
      <c r="D73" s="74" t="s">
        <v>938</v>
      </c>
      <c r="E73" s="74"/>
      <c r="F73" s="74" t="s">
        <v>1729</v>
      </c>
      <c r="H73" s="20">
        <v>30000000000</v>
      </c>
      <c r="I73" s="20">
        <f>I72+Table14[[#This Row],[مبلغ ورود]]-Table14[[#This Row],[مبلغ خروج]]</f>
        <v>243948636409</v>
      </c>
      <c r="J73" s="216" t="s">
        <v>1750</v>
      </c>
    </row>
    <row r="74" spans="1:10" ht="21">
      <c r="A74" s="255">
        <v>68</v>
      </c>
      <c r="B74" s="261" t="s">
        <v>1751</v>
      </c>
      <c r="C74" s="1"/>
      <c r="D74" s="74" t="s">
        <v>938</v>
      </c>
      <c r="E74" s="74"/>
      <c r="F74" s="74" t="s">
        <v>1729</v>
      </c>
      <c r="H74" s="20">
        <v>100000000000</v>
      </c>
      <c r="I74" s="20">
        <f>I73+Table14[[#This Row],[مبلغ ورود]]-Table14[[#This Row],[مبلغ خروج]]</f>
        <v>143948636409</v>
      </c>
      <c r="J74" s="216" t="s">
        <v>1750</v>
      </c>
    </row>
    <row r="75" spans="1:10" ht="21">
      <c r="A75" s="255">
        <v>69</v>
      </c>
      <c r="B75" s="261" t="s">
        <v>1751</v>
      </c>
      <c r="C75" s="262"/>
      <c r="D75" s="74" t="s">
        <v>938</v>
      </c>
      <c r="E75" s="74"/>
      <c r="F75" s="74" t="s">
        <v>1756</v>
      </c>
      <c r="G75" s="264"/>
      <c r="H75" s="20">
        <v>250000</v>
      </c>
      <c r="I75" s="20">
        <f>I74+Table14[[#This Row],[مبلغ ورود]]-Table14[[#This Row],[مبلغ خروج]]</f>
        <v>143948386409</v>
      </c>
      <c r="J75" s="216"/>
    </row>
    <row r="76" spans="1:10" ht="21">
      <c r="A76" s="255">
        <v>70</v>
      </c>
      <c r="B76" s="261" t="s">
        <v>1757</v>
      </c>
      <c r="C76" s="262"/>
      <c r="D76" s="74" t="s">
        <v>938</v>
      </c>
      <c r="E76" s="74"/>
      <c r="F76" s="74" t="s">
        <v>1756</v>
      </c>
      <c r="G76" s="264"/>
      <c r="H76" s="20">
        <v>250000</v>
      </c>
      <c r="I76" s="20">
        <f>I75+Table14[[#This Row],[مبلغ ورود]]-Table14[[#This Row],[مبلغ خروج]]</f>
        <v>143948136409</v>
      </c>
      <c r="J76" s="216"/>
    </row>
    <row r="77" spans="1:10" ht="21">
      <c r="A77" s="255">
        <v>71</v>
      </c>
      <c r="B77" s="261" t="s">
        <v>1752</v>
      </c>
      <c r="C77" s="1"/>
      <c r="D77" s="74" t="s">
        <v>938</v>
      </c>
      <c r="E77" s="74"/>
      <c r="F77" s="74" t="s">
        <v>1753</v>
      </c>
      <c r="H77" s="20">
        <v>60000000000</v>
      </c>
      <c r="I77" s="20">
        <f>I76+Table14[[#This Row],[مبلغ ورود]]-Table14[[#This Row],[مبلغ خروج]]</f>
        <v>83948136409</v>
      </c>
      <c r="J77" s="216" t="s">
        <v>1750</v>
      </c>
    </row>
    <row r="78" spans="1:10" ht="21">
      <c r="A78" s="255">
        <v>72</v>
      </c>
      <c r="B78" s="261" t="s">
        <v>1752</v>
      </c>
      <c r="C78" s="1"/>
      <c r="D78" s="74" t="s">
        <v>938</v>
      </c>
      <c r="E78" s="74"/>
      <c r="F78" s="74" t="s">
        <v>1583</v>
      </c>
      <c r="G78" s="73">
        <v>200000000000</v>
      </c>
      <c r="I78" s="20">
        <f>I77+Table14[[#This Row],[مبلغ ورود]]-Table14[[#This Row],[مبلغ خروج]]</f>
        <v>283948136409</v>
      </c>
      <c r="J78" s="216"/>
    </row>
    <row r="79" spans="1:10" ht="37.5">
      <c r="A79" s="255">
        <v>73</v>
      </c>
      <c r="B79" s="261" t="s">
        <v>1752</v>
      </c>
      <c r="C79" s="1"/>
      <c r="D79" s="74" t="s">
        <v>938</v>
      </c>
      <c r="E79" s="74"/>
      <c r="F79" s="74" t="s">
        <v>1754</v>
      </c>
      <c r="H79" s="20">
        <v>5000000000</v>
      </c>
      <c r="I79" s="20">
        <f>I78+Table14[[#This Row],[مبلغ ورود]]-Table14[[#This Row],[مبلغ خروج]]</f>
        <v>278948136409</v>
      </c>
      <c r="J79" s="216" t="s">
        <v>1750</v>
      </c>
    </row>
    <row r="80" spans="1:10" ht="37.5">
      <c r="A80" s="255">
        <v>74</v>
      </c>
      <c r="B80" s="261" t="s">
        <v>1752</v>
      </c>
      <c r="C80" s="1"/>
      <c r="D80" s="74" t="s">
        <v>938</v>
      </c>
      <c r="E80" s="74"/>
      <c r="F80" s="74" t="s">
        <v>1755</v>
      </c>
      <c r="H80" s="20">
        <v>100000000000</v>
      </c>
      <c r="I80" s="20">
        <f>I79+Table14[[#This Row],[مبلغ ورود]]-Table14[[#This Row],[مبلغ خروج]]</f>
        <v>178948136409</v>
      </c>
      <c r="J80" s="216" t="s">
        <v>1750</v>
      </c>
    </row>
    <row r="81" spans="1:10" ht="21">
      <c r="A81" s="255">
        <v>75</v>
      </c>
      <c r="B81" s="261" t="s">
        <v>1761</v>
      </c>
      <c r="C81" s="262"/>
      <c r="D81" s="74" t="s">
        <v>938</v>
      </c>
      <c r="E81" s="74"/>
      <c r="F81" s="74" t="s">
        <v>1756</v>
      </c>
      <c r="G81" s="264"/>
      <c r="H81" s="20">
        <f>250000+250000+10000</f>
        <v>510000</v>
      </c>
      <c r="I81" s="20">
        <f>I80+Table14[[#This Row],[مبلغ ورود]]-Table14[[#This Row],[مبلغ خروج]]</f>
        <v>178947626409</v>
      </c>
      <c r="J81" s="216"/>
    </row>
    <row r="82" spans="1:10" ht="21">
      <c r="A82" s="255">
        <v>76</v>
      </c>
      <c r="B82" s="261" t="s">
        <v>1761</v>
      </c>
      <c r="C82" s="262"/>
      <c r="D82" s="74" t="s">
        <v>938</v>
      </c>
      <c r="E82" s="74"/>
      <c r="F82" s="74" t="s">
        <v>1760</v>
      </c>
      <c r="G82" s="264"/>
      <c r="H82" s="20">
        <v>100000000000</v>
      </c>
      <c r="I82" s="20">
        <f>I81+Table14[[#This Row],[مبلغ ورود]]-Table14[[#This Row],[مبلغ خروج]]</f>
        <v>78947626409</v>
      </c>
      <c r="J82" s="216" t="s">
        <v>1762</v>
      </c>
    </row>
    <row r="83" spans="1:10" ht="21">
      <c r="A83" s="255">
        <v>77</v>
      </c>
      <c r="B83" s="261" t="s">
        <v>1759</v>
      </c>
      <c r="C83" s="1"/>
      <c r="D83" s="74" t="s">
        <v>938</v>
      </c>
      <c r="E83" s="74"/>
      <c r="F83" s="265" t="s">
        <v>1758</v>
      </c>
      <c r="G83" s="73">
        <v>626957024</v>
      </c>
      <c r="I83" s="20">
        <f>I82+Table14[[#This Row],[مبلغ ورود]]-Table14[[#This Row],[مبلغ خروج]]</f>
        <v>79574583433</v>
      </c>
      <c r="J83" s="216"/>
    </row>
    <row r="84" spans="1:10" ht="21">
      <c r="A84" s="255">
        <v>78</v>
      </c>
      <c r="B84" s="261" t="s">
        <v>1759</v>
      </c>
      <c r="C84" s="262"/>
      <c r="D84" s="74" t="s">
        <v>938</v>
      </c>
      <c r="E84" s="74"/>
      <c r="F84" s="74" t="s">
        <v>1763</v>
      </c>
      <c r="G84" s="264"/>
      <c r="H84" s="20">
        <v>926155675</v>
      </c>
      <c r="I84" s="20">
        <f>I83+Table14[[#This Row],[مبلغ ورود]]-Table14[[#This Row],[مبلغ خروج]]</f>
        <v>78648427758</v>
      </c>
      <c r="J84" s="216" t="s">
        <v>1764</v>
      </c>
    </row>
    <row r="85" spans="1:10" ht="21">
      <c r="A85" s="255">
        <v>79</v>
      </c>
      <c r="B85" s="261" t="s">
        <v>1759</v>
      </c>
      <c r="C85" s="262"/>
      <c r="D85" s="74" t="s">
        <v>938</v>
      </c>
      <c r="E85" s="74"/>
      <c r="F85" s="74" t="s">
        <v>1765</v>
      </c>
      <c r="G85" s="264"/>
      <c r="H85" s="20">
        <v>462098550</v>
      </c>
      <c r="I85" s="20">
        <f>I84+Table14[[#This Row],[مبلغ ورود]]-Table14[[#This Row],[مبلغ خروج]]</f>
        <v>78186329208</v>
      </c>
      <c r="J85" s="216" t="s">
        <v>1764</v>
      </c>
    </row>
    <row r="86" spans="1:10" ht="37.5">
      <c r="A86" s="255">
        <v>80</v>
      </c>
      <c r="B86" s="261" t="s">
        <v>1759</v>
      </c>
      <c r="C86" s="262"/>
      <c r="D86" s="74" t="s">
        <v>938</v>
      </c>
      <c r="E86" s="74"/>
      <c r="F86" s="74" t="s">
        <v>1766</v>
      </c>
      <c r="G86" s="264"/>
      <c r="H86" s="20">
        <v>3000000000</v>
      </c>
      <c r="I86" s="20">
        <f>I85+Table14[[#This Row],[مبلغ ورود]]-Table14[[#This Row],[مبلغ خروج]]</f>
        <v>75186329208</v>
      </c>
      <c r="J86" s="266" t="s">
        <v>1770</v>
      </c>
    </row>
    <row r="87" spans="1:10" ht="37.5">
      <c r="A87" s="255">
        <v>81</v>
      </c>
      <c r="B87" s="261" t="s">
        <v>1759</v>
      </c>
      <c r="C87" s="262"/>
      <c r="D87" s="74" t="s">
        <v>938</v>
      </c>
      <c r="E87" s="74"/>
      <c r="F87" s="74" t="s">
        <v>1767</v>
      </c>
      <c r="G87" s="264"/>
      <c r="H87" s="20">
        <v>5000000000</v>
      </c>
      <c r="I87" s="20">
        <f>I86+Table14[[#This Row],[مبلغ ورود]]-Table14[[#This Row],[مبلغ خروج]]</f>
        <v>70186329208</v>
      </c>
      <c r="J87" s="216"/>
    </row>
    <row r="88" spans="1:10" ht="21">
      <c r="A88" s="255">
        <v>82</v>
      </c>
      <c r="B88" s="261" t="s">
        <v>1768</v>
      </c>
      <c r="C88" s="262"/>
      <c r="D88" s="74" t="s">
        <v>938</v>
      </c>
      <c r="E88" s="74"/>
      <c r="F88" s="74" t="s">
        <v>1769</v>
      </c>
      <c r="G88" s="264"/>
      <c r="H88" s="20">
        <f>250000+250000+27000+63000</f>
        <v>590000</v>
      </c>
      <c r="I88" s="20">
        <f>I87+Table14[[#This Row],[مبلغ ورود]]-Table14[[#This Row],[مبلغ خروج]]</f>
        <v>70185739208</v>
      </c>
      <c r="J88" s="216"/>
    </row>
    <row r="89" spans="1:10" ht="21">
      <c r="A89" s="255">
        <v>83</v>
      </c>
      <c r="B89" s="261" t="s">
        <v>1771</v>
      </c>
      <c r="C89" s="262"/>
      <c r="D89" s="74" t="s">
        <v>938</v>
      </c>
      <c r="E89" s="74"/>
      <c r="F89" s="74" t="s">
        <v>1772</v>
      </c>
      <c r="G89" s="264">
        <v>1255145561</v>
      </c>
      <c r="I89" s="20">
        <f>I88+Table14[[#This Row],[مبلغ ورود]]-Table14[[#This Row],[مبلغ خروج]]</f>
        <v>71440884769</v>
      </c>
      <c r="J89" s="216"/>
    </row>
    <row r="90" spans="1:10" ht="21">
      <c r="A90" s="255">
        <v>84</v>
      </c>
      <c r="B90" s="261" t="s">
        <v>1776</v>
      </c>
      <c r="C90" s="267"/>
      <c r="D90" s="74" t="s">
        <v>938</v>
      </c>
      <c r="E90" s="74"/>
      <c r="F90" s="74" t="s">
        <v>1777</v>
      </c>
      <c r="G90" s="268"/>
      <c r="H90" s="20">
        <v>90000</v>
      </c>
      <c r="I90" s="20">
        <f>I89+Table14[[#This Row],[مبلغ ورود]]-Table14[[#This Row],[مبلغ خروج]]</f>
        <v>71440794769</v>
      </c>
      <c r="J90" s="216"/>
    </row>
    <row r="91" spans="1:10" ht="21">
      <c r="A91" s="255">
        <v>85</v>
      </c>
      <c r="B91" s="261" t="s">
        <v>1773</v>
      </c>
      <c r="C91" s="262"/>
      <c r="D91" s="74" t="s">
        <v>938</v>
      </c>
      <c r="E91" s="74"/>
      <c r="F91" s="74" t="s">
        <v>1729</v>
      </c>
      <c r="G91" s="264"/>
      <c r="H91" s="20">
        <v>60000000000</v>
      </c>
      <c r="I91" s="20">
        <f>I90+Table14[[#This Row],[مبلغ ورود]]-Table14[[#This Row],[مبلغ خروج]]</f>
        <v>11440794769</v>
      </c>
      <c r="J91" s="216"/>
    </row>
    <row r="92" spans="1:10" ht="21">
      <c r="A92" s="255">
        <v>86</v>
      </c>
      <c r="B92" s="261" t="s">
        <v>1774</v>
      </c>
      <c r="C92" s="262"/>
      <c r="D92" s="74" t="s">
        <v>938</v>
      </c>
      <c r="E92" s="74"/>
      <c r="F92" s="74" t="s">
        <v>1775</v>
      </c>
      <c r="G92" s="264"/>
      <c r="H92" s="20">
        <f>250000+24000</f>
        <v>274000</v>
      </c>
      <c r="I92" s="20">
        <f>I91+Table14[[#This Row],[مبلغ ورود]]-Table14[[#This Row],[مبلغ خروج]]</f>
        <v>11440520769</v>
      </c>
      <c r="J92" s="216"/>
    </row>
    <row r="93" spans="1:10" ht="21">
      <c r="A93" s="255">
        <v>87</v>
      </c>
      <c r="B93" s="261" t="s">
        <v>1779</v>
      </c>
      <c r="C93" s="1"/>
      <c r="D93" s="74" t="s">
        <v>938</v>
      </c>
      <c r="E93" s="74"/>
      <c r="F93" s="74" t="s">
        <v>1756</v>
      </c>
      <c r="H93" s="20">
        <f>250000+250000+250000</f>
        <v>750000</v>
      </c>
      <c r="I93" s="20">
        <f>I92+Table14[[#This Row],[مبلغ ورود]]-Table14[[#This Row],[مبلغ خروج]]</f>
        <v>11439770769</v>
      </c>
      <c r="J93" s="216"/>
    </row>
    <row r="94" spans="1:10" ht="21">
      <c r="A94" s="255">
        <v>88</v>
      </c>
      <c r="B94" s="261" t="s">
        <v>1779</v>
      </c>
      <c r="C94" s="267"/>
      <c r="D94" s="74" t="s">
        <v>938</v>
      </c>
      <c r="E94" s="74"/>
      <c r="F94" s="74" t="s">
        <v>1778</v>
      </c>
      <c r="G94" s="20">
        <v>120000000000</v>
      </c>
      <c r="I94" s="20">
        <f>I93+Table14[[#This Row],[مبلغ ورود]]-Table14[[#This Row],[مبلغ خروج]]</f>
        <v>131439770769</v>
      </c>
      <c r="J94" s="216"/>
    </row>
    <row r="95" spans="1:10" ht="21">
      <c r="A95" s="255">
        <v>89</v>
      </c>
      <c r="B95" s="261" t="s">
        <v>1779</v>
      </c>
      <c r="C95" s="262"/>
      <c r="D95" s="74" t="s">
        <v>938</v>
      </c>
      <c r="E95" s="74"/>
      <c r="F95" s="74" t="s">
        <v>1729</v>
      </c>
      <c r="G95" s="264"/>
      <c r="H95" s="20">
        <v>20000000000</v>
      </c>
      <c r="I95" s="20">
        <f>I94+Table14[[#This Row],[مبلغ ورود]]-Table14[[#This Row],[مبلغ خروج]]</f>
        <v>111439770769</v>
      </c>
      <c r="J95" s="216"/>
    </row>
    <row r="96" spans="1:10" ht="37.5">
      <c r="A96" s="255">
        <v>90</v>
      </c>
      <c r="B96" s="261" t="s">
        <v>1779</v>
      </c>
      <c r="C96" s="262"/>
      <c r="D96" s="74" t="s">
        <v>938</v>
      </c>
      <c r="E96" s="74"/>
      <c r="F96" s="74" t="s">
        <v>1780</v>
      </c>
      <c r="G96" s="264"/>
      <c r="H96" s="20">
        <v>20000000000</v>
      </c>
      <c r="I96" s="20">
        <f>I95+Table14[[#This Row],[مبلغ ورود]]-Table14[[#This Row],[مبلغ خروج]]</f>
        <v>91439770769</v>
      </c>
      <c r="J96" s="216"/>
    </row>
    <row r="97" spans="1:10" ht="37.5">
      <c r="A97" s="255">
        <v>91</v>
      </c>
      <c r="B97" s="261" t="s">
        <v>1779</v>
      </c>
      <c r="C97" s="262"/>
      <c r="D97" s="74" t="s">
        <v>938</v>
      </c>
      <c r="E97" s="74"/>
      <c r="F97" s="74" t="s">
        <v>1780</v>
      </c>
      <c r="G97" s="264"/>
      <c r="H97" s="20">
        <v>10000000000</v>
      </c>
      <c r="I97" s="20">
        <f>I96+Table14[[#This Row],[مبلغ ورود]]-Table14[[#This Row],[مبلغ خروج]]</f>
        <v>81439770769</v>
      </c>
      <c r="J97" s="216"/>
    </row>
    <row r="98" spans="1:10" ht="37.5">
      <c r="A98" s="255">
        <v>92</v>
      </c>
      <c r="B98" s="263" t="s">
        <v>1781</v>
      </c>
      <c r="C98" s="262"/>
      <c r="D98" s="74" t="s">
        <v>938</v>
      </c>
      <c r="E98" s="74"/>
      <c r="F98" s="74" t="s">
        <v>1767</v>
      </c>
      <c r="G98" s="264"/>
      <c r="H98" s="20">
        <v>5000000000</v>
      </c>
      <c r="I98" s="20">
        <f>I97+Table14[[#This Row],[مبلغ ورود]]-Table14[[#This Row],[مبلغ خروج]]</f>
        <v>76439770769</v>
      </c>
      <c r="J98" s="216" t="s">
        <v>1750</v>
      </c>
    </row>
    <row r="99" spans="1:10" ht="21">
      <c r="A99" s="255">
        <v>93</v>
      </c>
      <c r="B99" s="263" t="s">
        <v>1781</v>
      </c>
      <c r="C99" s="262"/>
      <c r="D99" s="74" t="s">
        <v>938</v>
      </c>
      <c r="E99" s="74"/>
      <c r="F99" s="74" t="s">
        <v>1729</v>
      </c>
      <c r="G99" s="264"/>
      <c r="H99" s="20">
        <v>30000000000</v>
      </c>
      <c r="I99" s="20">
        <f>I98+Table14[[#This Row],[مبلغ ورود]]-Table14[[#This Row],[مبلغ خروج]]</f>
        <v>46439770769</v>
      </c>
      <c r="J99" s="216" t="s">
        <v>1750</v>
      </c>
    </row>
    <row r="100" spans="1:10" ht="21">
      <c r="A100" s="255">
        <v>94</v>
      </c>
      <c r="B100" s="263" t="s">
        <v>1785</v>
      </c>
      <c r="C100" s="269"/>
      <c r="D100" s="270"/>
      <c r="E100" s="270"/>
      <c r="F100" s="74" t="s">
        <v>1756</v>
      </c>
      <c r="G100" s="271"/>
      <c r="H100" s="20">
        <f>250000+250000</f>
        <v>500000</v>
      </c>
      <c r="I100" s="20">
        <f>I99+Table14[[#This Row],[مبلغ ورود]]-Table14[[#This Row],[مبلغ خروج]]</f>
        <v>46439270769</v>
      </c>
      <c r="J100" s="216"/>
    </row>
    <row r="101" spans="1:10" ht="21">
      <c r="A101" s="255">
        <v>95</v>
      </c>
      <c r="B101" s="263" t="s">
        <v>1782</v>
      </c>
      <c r="C101" s="262"/>
      <c r="D101" s="74" t="s">
        <v>938</v>
      </c>
      <c r="E101" s="74"/>
      <c r="F101" s="74" t="s">
        <v>1583</v>
      </c>
      <c r="G101" s="264">
        <v>500000000000</v>
      </c>
      <c r="I101" s="20">
        <f>I100+Table14[[#This Row],[مبلغ ورود]]-Table14[[#This Row],[مبلغ خروج]]</f>
        <v>546439270769</v>
      </c>
      <c r="J101" s="216"/>
    </row>
    <row r="102" spans="1:10" ht="37.5">
      <c r="A102" s="255">
        <v>96</v>
      </c>
      <c r="B102" s="263" t="s">
        <v>1782</v>
      </c>
      <c r="C102" s="262"/>
      <c r="D102" s="74" t="s">
        <v>938</v>
      </c>
      <c r="E102" s="74"/>
      <c r="F102" s="74" t="s">
        <v>1783</v>
      </c>
      <c r="G102" s="264"/>
      <c r="H102" s="20">
        <v>195602344000</v>
      </c>
      <c r="I102" s="20">
        <f>I101+Table14[[#This Row],[مبلغ ورود]]-Table14[[#This Row],[مبلغ خروج]]</f>
        <v>350836926769</v>
      </c>
      <c r="J102" s="216" t="s">
        <v>1784</v>
      </c>
    </row>
    <row r="103" spans="1:10" ht="21">
      <c r="A103" s="255">
        <v>97</v>
      </c>
      <c r="B103" s="263" t="s">
        <v>1786</v>
      </c>
      <c r="C103" s="262"/>
      <c r="D103" s="74" t="s">
        <v>938</v>
      </c>
      <c r="E103" s="74"/>
      <c r="F103" s="74" t="s">
        <v>1756</v>
      </c>
      <c r="G103" s="264"/>
      <c r="H103" s="20">
        <f>250000+250000+250000</f>
        <v>750000</v>
      </c>
      <c r="I103" s="20">
        <f>I102+Table14[[#This Row],[مبلغ ورود]]-Table14[[#This Row],[مبلغ خروج]]</f>
        <v>350836176769</v>
      </c>
      <c r="J103" s="216"/>
    </row>
    <row r="104" spans="1:10" ht="21">
      <c r="A104" s="255">
        <v>98</v>
      </c>
      <c r="B104" s="263" t="s">
        <v>1786</v>
      </c>
      <c r="C104" s="269"/>
      <c r="D104" s="74" t="s">
        <v>938</v>
      </c>
      <c r="E104" s="74"/>
      <c r="F104" s="74" t="s">
        <v>1729</v>
      </c>
      <c r="G104" s="271"/>
      <c r="H104" s="20">
        <v>50000000000</v>
      </c>
      <c r="I104" s="20">
        <f>I103+Table14[[#This Row],[مبلغ ورود]]-Table14[[#This Row],[مبلغ خروج]]</f>
        <v>300836176769</v>
      </c>
      <c r="J104" s="216"/>
    </row>
    <row r="105" spans="1:10" ht="37.5">
      <c r="A105" s="255">
        <v>99</v>
      </c>
      <c r="B105" s="263" t="s">
        <v>1786</v>
      </c>
      <c r="C105" s="269"/>
      <c r="D105" s="74" t="s">
        <v>938</v>
      </c>
      <c r="E105" s="74"/>
      <c r="F105" s="74" t="s">
        <v>1780</v>
      </c>
      <c r="G105" s="271"/>
      <c r="H105" s="20">
        <v>50000000000</v>
      </c>
      <c r="I105" s="20">
        <f>I104+Table14[[#This Row],[مبلغ ورود]]-Table14[[#This Row],[مبلغ خروج]]</f>
        <v>250836176769</v>
      </c>
      <c r="J105" s="216"/>
    </row>
    <row r="106" spans="1:10" ht="21">
      <c r="A106" s="255">
        <v>100</v>
      </c>
      <c r="B106" s="263" t="s">
        <v>1788</v>
      </c>
      <c r="C106" s="269"/>
      <c r="D106" s="74" t="s">
        <v>938</v>
      </c>
      <c r="E106" s="74"/>
      <c r="F106" s="74" t="s">
        <v>1787</v>
      </c>
      <c r="G106" s="20">
        <v>96741409</v>
      </c>
      <c r="I106" s="20">
        <f>I105+Table14[[#This Row],[مبلغ ورود]]-Table14[[#This Row],[مبلغ خروج]]</f>
        <v>250932918178</v>
      </c>
      <c r="J106" s="216"/>
    </row>
    <row r="107" spans="1:10" ht="21">
      <c r="A107" s="255">
        <v>101</v>
      </c>
      <c r="B107" s="261" t="s">
        <v>1789</v>
      </c>
      <c r="C107" s="258">
        <v>294801</v>
      </c>
      <c r="D107" s="74" t="s">
        <v>938</v>
      </c>
      <c r="E107" s="272"/>
      <c r="F107" s="74" t="s">
        <v>1604</v>
      </c>
      <c r="G107" s="271"/>
      <c r="H107" s="20">
        <v>0</v>
      </c>
      <c r="I107" s="20">
        <f>I106+Table14[[#This Row],[مبلغ ورود]]-Table14[[#This Row],[مبلغ خروج]]</f>
        <v>250932918178</v>
      </c>
      <c r="J107" s="216"/>
    </row>
    <row r="108" spans="1:10" ht="21">
      <c r="A108" s="255">
        <v>102</v>
      </c>
      <c r="B108" s="261" t="s">
        <v>1789</v>
      </c>
      <c r="C108" s="258">
        <v>294802</v>
      </c>
      <c r="D108" s="270" t="s">
        <v>938</v>
      </c>
      <c r="E108" s="272" t="s">
        <v>1792</v>
      </c>
      <c r="F108" s="74" t="s">
        <v>1793</v>
      </c>
      <c r="G108" s="271"/>
      <c r="H108" s="20">
        <v>873253962</v>
      </c>
      <c r="I108" s="20">
        <f>I107+Table14[[#This Row],[مبلغ ورود]]-Table14[[#This Row],[مبلغ خروج]]</f>
        <v>250059664216</v>
      </c>
      <c r="J108" s="216"/>
    </row>
    <row r="109" spans="1:10" ht="21">
      <c r="A109" s="255">
        <v>103</v>
      </c>
      <c r="B109" s="261" t="s">
        <v>1789</v>
      </c>
      <c r="C109" s="258">
        <v>294803</v>
      </c>
      <c r="D109" s="270" t="s">
        <v>938</v>
      </c>
      <c r="E109" s="272" t="s">
        <v>1795</v>
      </c>
      <c r="F109" s="74" t="s">
        <v>1794</v>
      </c>
      <c r="G109" s="271"/>
      <c r="H109" s="20">
        <v>3500000000</v>
      </c>
      <c r="I109" s="20">
        <f>I108+Table14[[#This Row],[مبلغ ورود]]-Table14[[#This Row],[مبلغ خروج]]</f>
        <v>246559664216</v>
      </c>
      <c r="J109" s="216"/>
    </row>
    <row r="110" spans="1:10" ht="56.25">
      <c r="A110" s="255">
        <v>104</v>
      </c>
      <c r="B110" s="261" t="s">
        <v>1789</v>
      </c>
      <c r="C110" s="258">
        <v>294804</v>
      </c>
      <c r="D110" s="270" t="s">
        <v>938</v>
      </c>
      <c r="E110" s="272" t="s">
        <v>1797</v>
      </c>
      <c r="F110" s="74" t="s">
        <v>1796</v>
      </c>
      <c r="G110" s="271"/>
      <c r="H110" s="20">
        <v>105553000</v>
      </c>
      <c r="I110" s="20">
        <f>I109+Table14[[#This Row],[مبلغ ورود]]-Table14[[#This Row],[مبلغ خروج]]</f>
        <v>246454111216</v>
      </c>
      <c r="J110" s="216"/>
    </row>
    <row r="111" spans="1:10" ht="21">
      <c r="A111" s="255">
        <v>105</v>
      </c>
      <c r="B111" s="261" t="s">
        <v>1789</v>
      </c>
      <c r="C111" s="258">
        <v>294805</v>
      </c>
      <c r="D111" s="270" t="s">
        <v>938</v>
      </c>
      <c r="E111" s="272" t="s">
        <v>1798</v>
      </c>
      <c r="F111" s="74" t="s">
        <v>1799</v>
      </c>
      <c r="G111" s="271"/>
      <c r="H111" s="20">
        <v>7000000000</v>
      </c>
      <c r="I111" s="20">
        <f>I110+Table14[[#This Row],[مبلغ ورود]]-Table14[[#This Row],[مبلغ خروج]]</f>
        <v>239454111216</v>
      </c>
      <c r="J111" s="216"/>
    </row>
    <row r="112" spans="1:10" ht="21">
      <c r="A112" s="255">
        <v>106</v>
      </c>
      <c r="B112" s="261" t="s">
        <v>1800</v>
      </c>
      <c r="C112" s="258">
        <v>294806</v>
      </c>
      <c r="D112" s="270" t="s">
        <v>938</v>
      </c>
      <c r="E112" s="272" t="s">
        <v>1801</v>
      </c>
      <c r="F112" s="74" t="s">
        <v>1790</v>
      </c>
      <c r="G112" s="271"/>
      <c r="H112" s="20">
        <v>342783000</v>
      </c>
      <c r="I112" s="20">
        <f>I111+Table14[[#This Row],[مبلغ ورود]]-Table14[[#This Row],[مبلغ خروج]]</f>
        <v>239111328216</v>
      </c>
      <c r="J112" s="216"/>
    </row>
    <row r="113" spans="1:10" ht="21">
      <c r="A113" s="255">
        <v>107</v>
      </c>
      <c r="B113" s="261" t="s">
        <v>1800</v>
      </c>
      <c r="C113" s="258"/>
      <c r="D113" s="270" t="s">
        <v>938</v>
      </c>
      <c r="E113" s="272"/>
      <c r="F113" s="74" t="s">
        <v>1804</v>
      </c>
      <c r="G113" s="271"/>
      <c r="H113" s="20">
        <f>27000+10000</f>
        <v>37000</v>
      </c>
      <c r="I113" s="20">
        <f>I112+Table14[[#This Row],[مبلغ ورود]]-Table14[[#This Row],[مبلغ خروج]]</f>
        <v>239111291216</v>
      </c>
      <c r="J113" s="216"/>
    </row>
    <row r="114" spans="1:10" ht="21">
      <c r="A114" s="255">
        <v>108</v>
      </c>
      <c r="B114" s="261" t="s">
        <v>1802</v>
      </c>
      <c r="C114" s="276"/>
      <c r="D114" s="277"/>
      <c r="E114" s="274"/>
      <c r="F114" s="74" t="s">
        <v>1338</v>
      </c>
      <c r="G114" s="20">
        <v>1255735489</v>
      </c>
      <c r="I114" s="20">
        <f>I113+Table14[[#This Row],[مبلغ ورود]]-Table14[[#This Row],[مبلغ خروج]]</f>
        <v>240367026705</v>
      </c>
      <c r="J114" s="216"/>
    </row>
    <row r="115" spans="1:10" ht="21">
      <c r="A115" s="255">
        <v>109</v>
      </c>
      <c r="B115" s="261" t="s">
        <v>1802</v>
      </c>
      <c r="C115" s="258"/>
      <c r="D115" s="270" t="s">
        <v>938</v>
      </c>
      <c r="E115" s="272"/>
      <c r="F115" s="74" t="s">
        <v>1803</v>
      </c>
      <c r="G115" s="271"/>
      <c r="H115" s="20">
        <v>10000</v>
      </c>
      <c r="I115" s="20">
        <f>I114+Table14[[#This Row],[مبلغ ورود]]-Table14[[#This Row],[مبلغ خروج]]</f>
        <v>240367016705</v>
      </c>
      <c r="J115" s="216"/>
    </row>
    <row r="116" spans="1:10" ht="37.5">
      <c r="A116" s="255">
        <v>110</v>
      </c>
      <c r="B116" s="261" t="s">
        <v>1805</v>
      </c>
      <c r="C116" s="258">
        <v>294807</v>
      </c>
      <c r="D116" s="270" t="s">
        <v>938</v>
      </c>
      <c r="E116" s="272" t="s">
        <v>1806</v>
      </c>
      <c r="F116" s="74" t="s">
        <v>1810</v>
      </c>
      <c r="G116" s="271"/>
      <c r="H116" s="20">
        <v>20000000000</v>
      </c>
      <c r="I116" s="20">
        <f>I115+Table14[[#This Row],[مبلغ ورود]]-Table14[[#This Row],[مبلغ خروج]]</f>
        <v>220367016705</v>
      </c>
      <c r="J116" s="216"/>
    </row>
    <row r="117" spans="1:10" ht="37.5">
      <c r="A117" s="255">
        <v>111</v>
      </c>
      <c r="B117" s="261" t="s">
        <v>1805</v>
      </c>
      <c r="C117" s="258">
        <v>294808</v>
      </c>
      <c r="D117" s="270" t="s">
        <v>938</v>
      </c>
      <c r="E117" s="272" t="s">
        <v>1807</v>
      </c>
      <c r="F117" s="74" t="s">
        <v>1811</v>
      </c>
      <c r="H117" s="20">
        <v>90000000000</v>
      </c>
      <c r="I117" s="20">
        <f>I116+Table14[[#This Row],[مبلغ ورود]]-Table14[[#This Row],[مبلغ خروج]]</f>
        <v>130367016705</v>
      </c>
      <c r="J117" s="216"/>
    </row>
    <row r="118" spans="1:10" ht="21">
      <c r="A118" s="255">
        <v>112</v>
      </c>
      <c r="B118" s="261" t="s">
        <v>1822</v>
      </c>
      <c r="C118" s="276"/>
      <c r="D118" s="270" t="s">
        <v>938</v>
      </c>
      <c r="E118" s="274"/>
      <c r="F118" s="74" t="s">
        <v>1823</v>
      </c>
      <c r="G118" s="278"/>
      <c r="H118" s="20">
        <f>250000+250000</f>
        <v>500000</v>
      </c>
      <c r="I118" s="20">
        <f>I117+Table14[[#This Row],[مبلغ ورود]]-Table14[[#This Row],[مبلغ خروج]]</f>
        <v>130366516705</v>
      </c>
      <c r="J118" s="216"/>
    </row>
    <row r="119" spans="1:10" ht="37.5">
      <c r="A119" s="255">
        <v>113</v>
      </c>
      <c r="B119" s="261" t="s">
        <v>1808</v>
      </c>
      <c r="C119" s="258">
        <v>294809</v>
      </c>
      <c r="D119" s="270" t="s">
        <v>938</v>
      </c>
      <c r="E119" s="272" t="s">
        <v>1809</v>
      </c>
      <c r="F119" s="74" t="s">
        <v>1810</v>
      </c>
      <c r="H119" s="20">
        <v>15000000000</v>
      </c>
      <c r="I119" s="20">
        <f>I118+Table14[[#This Row],[مبلغ ورود]]-Table14[[#This Row],[مبلغ خروج]]</f>
        <v>115366516705</v>
      </c>
      <c r="J119" s="216"/>
    </row>
    <row r="120" spans="1:10" ht="21">
      <c r="A120" s="255">
        <v>114</v>
      </c>
      <c r="B120" s="261" t="s">
        <v>1813</v>
      </c>
      <c r="C120" s="276"/>
      <c r="D120" s="270" t="s">
        <v>938</v>
      </c>
      <c r="E120" s="274"/>
      <c r="F120" s="74" t="s">
        <v>1824</v>
      </c>
      <c r="G120" s="278"/>
      <c r="H120" s="20">
        <f>250000+90000</f>
        <v>340000</v>
      </c>
      <c r="I120" s="20">
        <f>I119+Table14[[#This Row],[مبلغ ورود]]-Table14[[#This Row],[مبلغ خروج]]</f>
        <v>115366176705</v>
      </c>
      <c r="J120" s="216"/>
    </row>
    <row r="121" spans="1:10" ht="37.5">
      <c r="A121" s="255">
        <v>115</v>
      </c>
      <c r="B121" s="261" t="s">
        <v>1813</v>
      </c>
      <c r="C121" s="273">
        <v>294810</v>
      </c>
      <c r="D121" s="270" t="s">
        <v>938</v>
      </c>
      <c r="E121" s="274" t="s">
        <v>1814</v>
      </c>
      <c r="F121" s="74" t="s">
        <v>1812</v>
      </c>
      <c r="G121" s="275"/>
      <c r="H121" s="20">
        <v>10000000000</v>
      </c>
      <c r="I121" s="20">
        <f>I120+Table14[[#This Row],[مبلغ ورود]]-Table14[[#This Row],[مبلغ خروج]]</f>
        <v>105366176705</v>
      </c>
      <c r="J121" s="216"/>
    </row>
    <row r="122" spans="1:10" ht="37.5">
      <c r="A122" s="255">
        <v>116</v>
      </c>
      <c r="B122" s="261" t="s">
        <v>1813</v>
      </c>
      <c r="C122" s="273">
        <v>294811</v>
      </c>
      <c r="D122" s="270" t="s">
        <v>938</v>
      </c>
      <c r="E122" s="274" t="s">
        <v>1815</v>
      </c>
      <c r="F122" s="74" t="s">
        <v>1812</v>
      </c>
      <c r="G122" s="275"/>
      <c r="H122" s="20">
        <v>10000000000</v>
      </c>
      <c r="I122" s="20">
        <f>I121+Table14[[#This Row],[مبلغ ورود]]-Table14[[#This Row],[مبلغ خروج]]</f>
        <v>95366176705</v>
      </c>
      <c r="J122" s="216"/>
    </row>
    <row r="123" spans="1:10" ht="37.5">
      <c r="A123" s="255">
        <v>117</v>
      </c>
      <c r="B123" s="261" t="s">
        <v>1817</v>
      </c>
      <c r="C123" s="273">
        <v>294812</v>
      </c>
      <c r="D123" s="270" t="s">
        <v>938</v>
      </c>
      <c r="E123" s="274" t="s">
        <v>1818</v>
      </c>
      <c r="F123" s="74" t="s">
        <v>1816</v>
      </c>
      <c r="G123" s="275"/>
      <c r="H123" s="20">
        <v>12920943600</v>
      </c>
      <c r="I123" s="20">
        <f>I122+Table14[[#This Row],[مبلغ ورود]]-Table14[[#This Row],[مبلغ خروج]]</f>
        <v>82445233105</v>
      </c>
      <c r="J123" s="216"/>
    </row>
    <row r="124" spans="1:10" ht="21">
      <c r="A124" s="255">
        <v>118</v>
      </c>
      <c r="B124" s="261" t="s">
        <v>1817</v>
      </c>
      <c r="C124" s="276"/>
      <c r="D124" s="270" t="s">
        <v>938</v>
      </c>
      <c r="E124" s="274"/>
      <c r="F124" s="74" t="s">
        <v>1823</v>
      </c>
      <c r="G124" s="278"/>
      <c r="H124" s="20">
        <f>250000+250000</f>
        <v>500000</v>
      </c>
      <c r="I124" s="20">
        <f>I123+Table14[[#This Row],[مبلغ ورود]]-Table14[[#This Row],[مبلغ خروج]]</f>
        <v>82444733105</v>
      </c>
      <c r="J124" s="216"/>
    </row>
    <row r="125" spans="1:10" ht="37.5">
      <c r="A125" s="255">
        <v>119</v>
      </c>
      <c r="B125" s="261" t="s">
        <v>1820</v>
      </c>
      <c r="C125" s="273">
        <v>294813</v>
      </c>
      <c r="D125" s="270" t="s">
        <v>938</v>
      </c>
      <c r="E125" s="274" t="s">
        <v>1821</v>
      </c>
      <c r="F125" s="74" t="s">
        <v>1819</v>
      </c>
      <c r="G125" s="275"/>
      <c r="H125" s="20">
        <v>10000000000</v>
      </c>
      <c r="I125" s="20">
        <f>I124+Table14[[#This Row],[مبلغ ورود]]-Table14[[#This Row],[مبلغ خروج]]</f>
        <v>72444733105</v>
      </c>
      <c r="J125" s="216"/>
    </row>
    <row r="126" spans="1:10" ht="21">
      <c r="A126" s="255">
        <v>120</v>
      </c>
      <c r="B126" s="261" t="s">
        <v>1820</v>
      </c>
      <c r="C126" s="273"/>
      <c r="D126" s="270" t="s">
        <v>938</v>
      </c>
      <c r="E126" s="274"/>
      <c r="F126" s="74" t="s">
        <v>1823</v>
      </c>
      <c r="G126" s="275"/>
      <c r="H126" s="20">
        <v>250000</v>
      </c>
      <c r="I126" s="20">
        <f>I125+Table14[[#This Row],[مبلغ ورود]]-Table14[[#This Row],[مبلغ خروج]]</f>
        <v>72444483105</v>
      </c>
      <c r="J126" s="216"/>
    </row>
    <row r="127" spans="1:10" ht="21">
      <c r="A127" s="1"/>
      <c r="B127" s="261" t="s">
        <v>1832</v>
      </c>
      <c r="C127" s="1"/>
      <c r="D127" s="270" t="s">
        <v>938</v>
      </c>
      <c r="E127" s="274"/>
      <c r="F127" s="74" t="s">
        <v>1823</v>
      </c>
      <c r="H127" s="20">
        <v>250000</v>
      </c>
      <c r="I127" s="20">
        <f>I126+Table14[[#This Row],[مبلغ ورود]]-Table14[[#This Row],[مبلغ خروج]]</f>
        <v>72444233105</v>
      </c>
      <c r="J127" s="216"/>
    </row>
    <row r="128" spans="1:10" ht="37.5">
      <c r="A128" s="273">
        <v>121</v>
      </c>
      <c r="B128" s="261" t="s">
        <v>1825</v>
      </c>
      <c r="C128" s="273">
        <v>294814</v>
      </c>
      <c r="D128" s="270" t="s">
        <v>938</v>
      </c>
      <c r="E128" s="274" t="s">
        <v>1827</v>
      </c>
      <c r="F128" s="74" t="s">
        <v>1826</v>
      </c>
      <c r="G128" s="275"/>
      <c r="H128" s="20">
        <v>136000000</v>
      </c>
      <c r="I128" s="20">
        <f>I127+Table14[[#This Row],[مبلغ ورود]]-Table14[[#This Row],[مبلغ خروج]]</f>
        <v>72308233105</v>
      </c>
      <c r="J128" s="216"/>
    </row>
    <row r="129" spans="1:10" ht="37.5">
      <c r="A129" s="273">
        <v>122</v>
      </c>
      <c r="B129" s="261" t="s">
        <v>1825</v>
      </c>
      <c r="C129" s="273">
        <v>294815</v>
      </c>
      <c r="D129" s="270" t="s">
        <v>938</v>
      </c>
      <c r="E129" s="274" t="s">
        <v>1829</v>
      </c>
      <c r="F129" s="74" t="s">
        <v>1828</v>
      </c>
      <c r="G129" s="275"/>
      <c r="H129" s="20">
        <v>267551400</v>
      </c>
      <c r="I129" s="20">
        <f>I128+Table14[[#This Row],[مبلغ ورود]]-Table14[[#This Row],[مبلغ خروج]]</f>
        <v>72040681705</v>
      </c>
      <c r="J129" s="216"/>
    </row>
    <row r="130" spans="1:10" ht="37.5">
      <c r="A130" s="273">
        <v>123</v>
      </c>
      <c r="B130" s="261" t="s">
        <v>1825</v>
      </c>
      <c r="C130" s="273">
        <v>294816</v>
      </c>
      <c r="D130" s="270" t="s">
        <v>938</v>
      </c>
      <c r="E130" s="274" t="s">
        <v>1830</v>
      </c>
      <c r="F130" s="74" t="s">
        <v>1831</v>
      </c>
      <c r="G130" s="275"/>
      <c r="H130" s="220">
        <v>15000000000</v>
      </c>
      <c r="I130" s="20">
        <f>I129+Table14[[#This Row],[مبلغ ورود]]-Table14[[#This Row],[مبلغ خروج]]</f>
        <v>57040681705</v>
      </c>
      <c r="J130" s="216"/>
    </row>
    <row r="131" spans="1:10" ht="21">
      <c r="A131" s="279"/>
      <c r="B131" s="261" t="s">
        <v>1839</v>
      </c>
      <c r="C131" s="279"/>
      <c r="D131" s="270" t="s">
        <v>938</v>
      </c>
      <c r="E131" s="274"/>
      <c r="F131" s="74" t="s">
        <v>1840</v>
      </c>
      <c r="G131" s="280"/>
      <c r="H131" s="220">
        <v>13600</v>
      </c>
      <c r="I131" s="20">
        <f>I130+Table14[[#This Row],[مبلغ ورود]]-Table14[[#This Row],[مبلغ خروج]]</f>
        <v>57040668105</v>
      </c>
      <c r="J131" s="216"/>
    </row>
    <row r="132" spans="1:10" ht="54.75" customHeight="1">
      <c r="A132" s="273">
        <v>124</v>
      </c>
      <c r="B132" s="261" t="s">
        <v>1833</v>
      </c>
      <c r="C132" s="273">
        <v>294817</v>
      </c>
      <c r="D132" s="270" t="s">
        <v>938</v>
      </c>
      <c r="E132" s="274" t="s">
        <v>1835</v>
      </c>
      <c r="F132" s="74" t="s">
        <v>1834</v>
      </c>
      <c r="G132" s="275"/>
      <c r="H132" s="20">
        <v>56373160</v>
      </c>
      <c r="I132" s="20">
        <f>I131+Table14[[#This Row],[مبلغ ورود]]-Table14[[#This Row],[مبلغ خروج]]</f>
        <v>56984294945</v>
      </c>
      <c r="J132" s="216"/>
    </row>
    <row r="133" spans="1:10" ht="24" customHeight="1">
      <c r="A133" s="273">
        <v>125</v>
      </c>
      <c r="B133" s="261" t="s">
        <v>1841</v>
      </c>
      <c r="C133" s="279"/>
      <c r="D133" s="270" t="s">
        <v>938</v>
      </c>
      <c r="E133" s="274"/>
      <c r="F133" s="74" t="s">
        <v>1823</v>
      </c>
      <c r="G133" s="280"/>
      <c r="H133" s="20">
        <v>53510</v>
      </c>
      <c r="I133" s="20">
        <f>I132+Table14[[#This Row],[مبلغ ورود]]-Table14[[#This Row],[مبلغ خروج]]</f>
        <v>56984241435</v>
      </c>
      <c r="J133" s="216"/>
    </row>
    <row r="134" spans="1:10" ht="37.5">
      <c r="A134" s="273">
        <v>126</v>
      </c>
      <c r="B134" s="261" t="s">
        <v>1836</v>
      </c>
      <c r="C134" s="273">
        <v>294818</v>
      </c>
      <c r="D134" s="270" t="s">
        <v>938</v>
      </c>
      <c r="E134" s="274" t="s">
        <v>1837</v>
      </c>
      <c r="F134" s="74" t="s">
        <v>1838</v>
      </c>
      <c r="G134" s="275"/>
      <c r="H134" s="20">
        <v>10000000000</v>
      </c>
      <c r="I134" s="20">
        <f>I133+Table14[[#This Row],[مبلغ ورود]]-Table14[[#This Row],[مبلغ خروج]]</f>
        <v>46984241435</v>
      </c>
      <c r="J134" s="216"/>
    </row>
    <row r="135" spans="1:10" ht="21">
      <c r="A135" s="273">
        <v>127</v>
      </c>
      <c r="B135" s="261" t="s">
        <v>1836</v>
      </c>
      <c r="C135" s="273"/>
      <c r="D135" s="270" t="s">
        <v>938</v>
      </c>
      <c r="E135" s="274"/>
      <c r="F135" s="74" t="s">
        <v>1692</v>
      </c>
      <c r="G135" s="275">
        <v>200000000000</v>
      </c>
      <c r="I135" s="20">
        <f>I134+Table14[[#This Row],[مبلغ ورود]]-Table14[[#This Row],[مبلغ خروج]]</f>
        <v>246984241435</v>
      </c>
      <c r="J135" s="216"/>
    </row>
    <row r="136" spans="1:10" ht="56.25">
      <c r="A136" s="273">
        <v>128</v>
      </c>
      <c r="B136" s="273" t="s">
        <v>1843</v>
      </c>
      <c r="C136" s="273">
        <v>294819</v>
      </c>
      <c r="D136" s="270" t="s">
        <v>938</v>
      </c>
      <c r="E136" s="274" t="s">
        <v>1844</v>
      </c>
      <c r="F136" s="213" t="s">
        <v>1842</v>
      </c>
      <c r="G136" s="280"/>
      <c r="H136" s="20">
        <v>115063170</v>
      </c>
      <c r="I136" s="20">
        <f>I135+Table14[[#This Row],[مبلغ ورود]]-Table14[[#This Row],[مبلغ خروج]]</f>
        <v>246869178265</v>
      </c>
      <c r="J136" s="282" t="s">
        <v>1850</v>
      </c>
    </row>
    <row r="137" spans="1:10" ht="37.5">
      <c r="A137" s="273">
        <v>129</v>
      </c>
      <c r="B137" s="273" t="s">
        <v>1843</v>
      </c>
      <c r="C137" s="273">
        <v>294820</v>
      </c>
      <c r="D137" s="270" t="s">
        <v>938</v>
      </c>
      <c r="E137" s="274" t="s">
        <v>1847</v>
      </c>
      <c r="F137" s="213" t="s">
        <v>1846</v>
      </c>
      <c r="G137" s="280"/>
      <c r="H137" s="20">
        <v>13018530000</v>
      </c>
      <c r="I137" s="20">
        <f>I136+Table14[[#This Row],[مبلغ ورود]]-Table14[[#This Row],[مبلغ خروج]]</f>
        <v>233850648265</v>
      </c>
      <c r="J137" s="216"/>
    </row>
    <row r="138" spans="1:10" ht="37.5">
      <c r="A138" s="273">
        <v>130</v>
      </c>
      <c r="B138" s="273" t="s">
        <v>1843</v>
      </c>
      <c r="C138" s="273">
        <v>294821</v>
      </c>
      <c r="D138" s="270" t="s">
        <v>938</v>
      </c>
      <c r="E138" s="274" t="s">
        <v>1848</v>
      </c>
      <c r="F138" s="213" t="s">
        <v>1849</v>
      </c>
      <c r="G138" s="280"/>
      <c r="H138" s="20">
        <v>42619000</v>
      </c>
      <c r="I138" s="20">
        <f>I137+Table14[[#This Row],[مبلغ ورود]]-Table14[[#This Row],[مبلغ خروج]]</f>
        <v>233808029265</v>
      </c>
      <c r="J138" s="216"/>
    </row>
    <row r="139" spans="1:10" ht="37.5">
      <c r="A139" s="273">
        <v>131</v>
      </c>
      <c r="B139" s="273" t="s">
        <v>1843</v>
      </c>
      <c r="C139" s="273">
        <v>294822</v>
      </c>
      <c r="D139" s="270" t="s">
        <v>938</v>
      </c>
      <c r="E139" s="274" t="s">
        <v>1851</v>
      </c>
      <c r="F139" s="74" t="s">
        <v>1852</v>
      </c>
      <c r="G139" s="280"/>
      <c r="H139" s="20">
        <v>639360000</v>
      </c>
      <c r="I139" s="20">
        <f>I138+Table14[[#This Row],[مبلغ ورود]]-Table14[[#This Row],[مبلغ خروج]]</f>
        <v>233168669265</v>
      </c>
      <c r="J139" s="216"/>
    </row>
    <row r="140" spans="1:10" ht="37.5">
      <c r="A140" s="273">
        <v>132</v>
      </c>
      <c r="B140" s="273" t="s">
        <v>1843</v>
      </c>
      <c r="C140" s="273">
        <v>294823</v>
      </c>
      <c r="D140" s="270" t="s">
        <v>938</v>
      </c>
      <c r="E140" s="274" t="s">
        <v>1853</v>
      </c>
      <c r="F140" s="74" t="s">
        <v>1854</v>
      </c>
      <c r="G140" s="280"/>
      <c r="H140" s="20">
        <v>260000000</v>
      </c>
      <c r="I140" s="20">
        <f>I139+Table14[[#This Row],[مبلغ ورود]]-Table14[[#This Row],[مبلغ خروج]]</f>
        <v>232908669265</v>
      </c>
      <c r="J140" s="216"/>
    </row>
    <row r="141" spans="1:10" ht="21">
      <c r="A141" s="273">
        <v>133</v>
      </c>
      <c r="B141" s="273" t="s">
        <v>1843</v>
      </c>
      <c r="C141" s="273">
        <v>294824</v>
      </c>
      <c r="D141" s="270" t="s">
        <v>938</v>
      </c>
      <c r="E141" s="274" t="s">
        <v>1855</v>
      </c>
      <c r="F141" s="74" t="s">
        <v>1856</v>
      </c>
      <c r="G141" s="280"/>
      <c r="H141" s="20">
        <v>933033370</v>
      </c>
      <c r="I141" s="20">
        <f>I140+Table14[[#This Row],[مبلغ ورود]]-Table14[[#This Row],[مبلغ خروج]]</f>
        <v>231975635895</v>
      </c>
      <c r="J141" s="216"/>
    </row>
    <row r="142" spans="1:10" ht="21">
      <c r="A142" s="273">
        <v>134</v>
      </c>
      <c r="B142" s="273" t="s">
        <v>1843</v>
      </c>
      <c r="C142" s="273">
        <v>294825</v>
      </c>
      <c r="D142" s="270" t="s">
        <v>938</v>
      </c>
      <c r="E142" s="274" t="s">
        <v>1858</v>
      </c>
      <c r="F142" s="74" t="s">
        <v>1857</v>
      </c>
      <c r="G142" s="280"/>
      <c r="H142" s="20">
        <v>6000000000</v>
      </c>
      <c r="I142" s="20">
        <f>I141+Table14[[#This Row],[مبلغ ورود]]-Table14[[#This Row],[مبلغ خروج]]</f>
        <v>225975635895</v>
      </c>
      <c r="J142" s="216"/>
    </row>
    <row r="143" spans="1:10" ht="21">
      <c r="A143" s="273">
        <v>135</v>
      </c>
      <c r="B143" s="273" t="s">
        <v>1843</v>
      </c>
      <c r="C143" s="273">
        <v>294826</v>
      </c>
      <c r="D143" s="270" t="s">
        <v>938</v>
      </c>
      <c r="E143" s="274" t="s">
        <v>1860</v>
      </c>
      <c r="F143" s="74" t="s">
        <v>1859</v>
      </c>
      <c r="G143" s="280"/>
      <c r="H143" s="20">
        <v>581098500</v>
      </c>
      <c r="I143" s="20">
        <f>I142+Table14[[#This Row],[مبلغ ورود]]-Table14[[#This Row],[مبلغ خروج]]</f>
        <v>225394537395</v>
      </c>
      <c r="J143" s="216"/>
    </row>
    <row r="144" spans="1:10" ht="37.5">
      <c r="A144" s="273">
        <v>136</v>
      </c>
      <c r="B144" s="273" t="s">
        <v>1843</v>
      </c>
      <c r="C144" s="273">
        <v>294827</v>
      </c>
      <c r="D144" s="270" t="s">
        <v>938</v>
      </c>
      <c r="E144" s="274" t="s">
        <v>1861</v>
      </c>
      <c r="F144" s="74" t="s">
        <v>1838</v>
      </c>
      <c r="G144" s="20"/>
      <c r="H144" s="20">
        <v>20000000000</v>
      </c>
      <c r="I144" s="20">
        <f>I143+Table14[[#This Row],[مبلغ ورود]]-Table14[[#This Row],[مبلغ خروج]]</f>
        <v>205394537395</v>
      </c>
      <c r="J144" s="216"/>
    </row>
    <row r="145" spans="1:10" ht="21">
      <c r="A145" s="273">
        <v>137</v>
      </c>
      <c r="B145" s="273" t="s">
        <v>1864</v>
      </c>
      <c r="C145" s="1"/>
      <c r="D145" s="270" t="s">
        <v>938</v>
      </c>
      <c r="E145" s="274"/>
      <c r="F145" s="74" t="s">
        <v>1876</v>
      </c>
      <c r="G145" s="73">
        <v>399044242</v>
      </c>
      <c r="I145" s="20">
        <f>I144+Table14[[#This Row],[مبلغ ورود]]-Table14[[#This Row],[مبلغ خروج]]</f>
        <v>205793581637</v>
      </c>
      <c r="J145" s="216"/>
    </row>
    <row r="146" spans="1:10" ht="56.25">
      <c r="A146" s="273">
        <v>138</v>
      </c>
      <c r="B146" s="273" t="s">
        <v>1864</v>
      </c>
      <c r="C146" s="273">
        <v>294828</v>
      </c>
      <c r="D146" s="281" t="s">
        <v>938</v>
      </c>
      <c r="E146" s="274" t="s">
        <v>1863</v>
      </c>
      <c r="F146" s="74" t="s">
        <v>1862</v>
      </c>
      <c r="G146" s="280"/>
      <c r="H146" s="20">
        <v>87407041</v>
      </c>
      <c r="I146" s="20">
        <f>I145+Table14[[#This Row],[مبلغ ورود]]-Table14[[#This Row],[مبلغ خروج]]</f>
        <v>205706174596</v>
      </c>
      <c r="J146" s="216"/>
    </row>
    <row r="147" spans="1:10" ht="21">
      <c r="A147" s="273">
        <v>139</v>
      </c>
      <c r="B147" s="273" t="s">
        <v>1864</v>
      </c>
      <c r="C147" s="1"/>
      <c r="D147" s="281" t="s">
        <v>938</v>
      </c>
      <c r="E147" s="274"/>
      <c r="F147" s="74" t="s">
        <v>1823</v>
      </c>
      <c r="H147" s="20">
        <f>250000+4261+27000+69000+127872</f>
        <v>478133</v>
      </c>
      <c r="I147" s="20">
        <f>I146+Table14[[#This Row],[مبلغ ورود]]-Table14[[#This Row],[مبلغ خروج]]</f>
        <v>205705696463</v>
      </c>
      <c r="J147" s="216"/>
    </row>
    <row r="148" spans="1:10" ht="37.5">
      <c r="A148" s="273">
        <v>140</v>
      </c>
      <c r="B148" s="261" t="s">
        <v>1866</v>
      </c>
      <c r="C148" s="279">
        <v>294829</v>
      </c>
      <c r="D148" s="281" t="s">
        <v>938</v>
      </c>
      <c r="E148" s="274" t="s">
        <v>1865</v>
      </c>
      <c r="F148" s="74" t="s">
        <v>1867</v>
      </c>
      <c r="G148" s="280"/>
      <c r="H148" s="20">
        <v>5488087500</v>
      </c>
      <c r="I148" s="20">
        <f>I147+Table14[[#This Row],[مبلغ ورود]]-Table14[[#This Row],[مبلغ خروج]]</f>
        <v>200217608963</v>
      </c>
      <c r="J148" s="216"/>
    </row>
    <row r="149" spans="1:10" ht="37.5">
      <c r="A149" s="273">
        <v>141</v>
      </c>
      <c r="B149" s="261" t="s">
        <v>1866</v>
      </c>
      <c r="C149" s="1">
        <v>294830</v>
      </c>
      <c r="D149" s="281" t="s">
        <v>938</v>
      </c>
      <c r="E149" s="274" t="s">
        <v>1869</v>
      </c>
      <c r="F149" s="74" t="s">
        <v>1868</v>
      </c>
      <c r="H149" s="20">
        <v>12743115000</v>
      </c>
      <c r="I149" s="20">
        <f>I148+Table14[[#This Row],[مبلغ ورود]]-Table14[[#This Row],[مبلغ خروج]]</f>
        <v>187474493963</v>
      </c>
      <c r="J149" s="216"/>
    </row>
    <row r="150" spans="1:10" ht="37.5">
      <c r="A150" s="273">
        <v>142</v>
      </c>
      <c r="B150" s="261" t="s">
        <v>1866</v>
      </c>
      <c r="C150" s="1">
        <v>294831</v>
      </c>
      <c r="D150" s="281" t="s">
        <v>938</v>
      </c>
      <c r="E150" s="274" t="s">
        <v>1871</v>
      </c>
      <c r="F150" s="74" t="s">
        <v>1870</v>
      </c>
      <c r="H150" s="20">
        <v>6821005443</v>
      </c>
      <c r="I150" s="20">
        <f>I149+Table14[[#This Row],[مبلغ ورود]]-Table14[[#This Row],[مبلغ خروج]]</f>
        <v>180653488520</v>
      </c>
      <c r="J150" s="216"/>
    </row>
    <row r="151" spans="1:10" ht="37.5">
      <c r="A151" s="273">
        <v>143</v>
      </c>
      <c r="B151" s="261" t="s">
        <v>1866</v>
      </c>
      <c r="C151" s="1">
        <v>294832</v>
      </c>
      <c r="D151" s="281" t="s">
        <v>938</v>
      </c>
      <c r="E151" s="274" t="s">
        <v>1872</v>
      </c>
      <c r="F151" s="74" t="s">
        <v>1873</v>
      </c>
      <c r="H151" s="20">
        <v>735390292</v>
      </c>
      <c r="I151" s="20">
        <f>I150+Table14[[#This Row],[مبلغ ورود]]-Table14[[#This Row],[مبلغ خروج]]</f>
        <v>179918098228</v>
      </c>
      <c r="J151" s="216"/>
    </row>
    <row r="152" spans="1:10" ht="37.5">
      <c r="A152" s="273">
        <v>144</v>
      </c>
      <c r="B152" s="261" t="s">
        <v>1866</v>
      </c>
      <c r="C152" s="1">
        <v>294833</v>
      </c>
      <c r="D152" s="281" t="s">
        <v>938</v>
      </c>
      <c r="E152" s="274" t="s">
        <v>1874</v>
      </c>
      <c r="F152" s="74" t="s">
        <v>1875</v>
      </c>
      <c r="H152" s="20">
        <v>82912405500</v>
      </c>
      <c r="I152" s="20">
        <f>I151+Table14[[#This Row],[مبلغ ورود]]-Table14[[#This Row],[مبلغ خروج]]</f>
        <v>97005692728</v>
      </c>
      <c r="J152" s="216"/>
    </row>
    <row r="153" spans="1:10" ht="37.5">
      <c r="A153" s="1">
        <v>145</v>
      </c>
      <c r="B153" s="261" t="s">
        <v>1878</v>
      </c>
      <c r="C153" s="1">
        <v>294834</v>
      </c>
      <c r="D153" s="281" t="s">
        <v>938</v>
      </c>
      <c r="E153" s="274" t="s">
        <v>1877</v>
      </c>
      <c r="F153" s="74" t="s">
        <v>1838</v>
      </c>
      <c r="H153" s="20">
        <v>10000000000</v>
      </c>
      <c r="I153" s="20">
        <f>I152+Table14[[#This Row],[مبلغ ورود]]-Table14[[#This Row],[مبلغ خروج]]</f>
        <v>87005692728</v>
      </c>
      <c r="J153" s="216"/>
    </row>
    <row r="154" spans="1:10" ht="21">
      <c r="A154" s="283"/>
      <c r="B154" s="261" t="s">
        <v>1878</v>
      </c>
      <c r="C154" s="283"/>
      <c r="D154" s="281" t="s">
        <v>938</v>
      </c>
      <c r="E154" s="274"/>
      <c r="F154" s="74" t="s">
        <v>1756</v>
      </c>
      <c r="G154" s="285"/>
      <c r="H154" s="20">
        <f>250000</f>
        <v>250000</v>
      </c>
      <c r="I154" s="20">
        <f>I153+Table14[[#This Row],[مبلغ ورود]]-Table14[[#This Row],[مبلغ خروج]]</f>
        <v>87005442728</v>
      </c>
      <c r="J154" s="216"/>
    </row>
    <row r="155" spans="1:10" ht="37.5">
      <c r="A155" s="1">
        <v>146</v>
      </c>
      <c r="B155" s="261" t="s">
        <v>1879</v>
      </c>
      <c r="C155" s="1">
        <v>294835</v>
      </c>
      <c r="D155" s="281" t="s">
        <v>938</v>
      </c>
      <c r="E155" s="274" t="s">
        <v>1880</v>
      </c>
      <c r="F155" s="74" t="s">
        <v>1881</v>
      </c>
      <c r="H155" s="20">
        <v>49050000</v>
      </c>
      <c r="I155" s="20">
        <f>I154+Table14[[#This Row],[مبلغ ورود]]-Table14[[#This Row],[مبلغ خروج]]</f>
        <v>86956392728</v>
      </c>
      <c r="J155" s="216"/>
    </row>
    <row r="156" spans="1:10" ht="37.5">
      <c r="A156" s="1">
        <v>147</v>
      </c>
      <c r="B156" s="261" t="s">
        <v>1879</v>
      </c>
      <c r="C156" s="1">
        <v>294836</v>
      </c>
      <c r="D156" s="281" t="s">
        <v>938</v>
      </c>
      <c r="E156" s="274" t="s">
        <v>1883</v>
      </c>
      <c r="F156" s="74" t="s">
        <v>1882</v>
      </c>
      <c r="G156" s="285"/>
      <c r="H156" s="20">
        <v>194301000</v>
      </c>
      <c r="I156" s="20">
        <f>I155+Table14[[#This Row],[مبلغ ورود]]-Table14[[#This Row],[مبلغ خروج]]</f>
        <v>86762091728</v>
      </c>
      <c r="J156" s="216"/>
    </row>
    <row r="157" spans="1:10" ht="21">
      <c r="A157" s="1">
        <v>148</v>
      </c>
      <c r="B157" s="261" t="s">
        <v>1879</v>
      </c>
      <c r="C157" s="1">
        <v>294837</v>
      </c>
      <c r="D157" s="281" t="s">
        <v>938</v>
      </c>
      <c r="E157" s="274" t="s">
        <v>1884</v>
      </c>
      <c r="F157" s="74" t="s">
        <v>1604</v>
      </c>
      <c r="G157" s="285"/>
      <c r="H157" s="20">
        <v>0</v>
      </c>
      <c r="I157" s="20">
        <f>I156+Table14[[#This Row],[مبلغ ورود]]-Table14[[#This Row],[مبلغ خروج]]</f>
        <v>86762091728</v>
      </c>
      <c r="J157" s="216"/>
    </row>
    <row r="158" spans="1:10" ht="37.5">
      <c r="A158" s="1">
        <v>149</v>
      </c>
      <c r="B158" s="261" t="s">
        <v>1879</v>
      </c>
      <c r="C158" s="1">
        <v>294838</v>
      </c>
      <c r="D158" s="281" t="s">
        <v>938</v>
      </c>
      <c r="E158" s="274" t="s">
        <v>1885</v>
      </c>
      <c r="F158" s="74" t="s">
        <v>1888</v>
      </c>
      <c r="G158" s="285"/>
      <c r="H158" s="20">
        <v>707250000</v>
      </c>
      <c r="I158" s="20">
        <f>I157+Table14[[#This Row],[مبلغ ورود]]-Table14[[#This Row],[مبلغ خروج]]</f>
        <v>86054841728</v>
      </c>
      <c r="J158" s="216"/>
    </row>
    <row r="159" spans="1:10" ht="37.5">
      <c r="A159" s="1">
        <v>150</v>
      </c>
      <c r="B159" s="261" t="s">
        <v>1879</v>
      </c>
      <c r="C159" s="1">
        <v>294839</v>
      </c>
      <c r="D159" s="281" t="s">
        <v>938</v>
      </c>
      <c r="E159" s="274" t="s">
        <v>1886</v>
      </c>
      <c r="F159" s="74" t="s">
        <v>1887</v>
      </c>
      <c r="G159" s="285"/>
      <c r="H159" s="20">
        <v>23424000</v>
      </c>
      <c r="I159" s="20">
        <f>I158+Table14[[#This Row],[مبلغ ورود]]-Table14[[#This Row],[مبلغ خروج]]</f>
        <v>86031417728</v>
      </c>
      <c r="J159" s="216"/>
    </row>
    <row r="160" spans="1:10" ht="21">
      <c r="A160" s="1"/>
      <c r="B160" s="261" t="s">
        <v>1879</v>
      </c>
      <c r="C160" s="1"/>
      <c r="D160" s="281" t="s">
        <v>938</v>
      </c>
      <c r="E160" s="274"/>
      <c r="F160" s="74" t="s">
        <v>1756</v>
      </c>
      <c r="H160" s="20">
        <v>250000</v>
      </c>
      <c r="I160" s="20">
        <f>I159+Table14[[#This Row],[مبلغ ورود]]-Table14[[#This Row],[مبلغ خروج]]</f>
        <v>86031167728</v>
      </c>
      <c r="J160" s="216"/>
    </row>
    <row r="161" spans="1:10" ht="37.5">
      <c r="A161" s="1">
        <v>151</v>
      </c>
      <c r="B161" s="261" t="s">
        <v>1889</v>
      </c>
      <c r="C161" s="1">
        <v>294840</v>
      </c>
      <c r="D161" s="281" t="s">
        <v>938</v>
      </c>
      <c r="E161" s="274" t="s">
        <v>1891</v>
      </c>
      <c r="F161" s="74" t="s">
        <v>1890</v>
      </c>
      <c r="G161" s="285"/>
      <c r="H161" s="20">
        <v>5255000000</v>
      </c>
      <c r="I161" s="20">
        <f>I160+Table14[[#This Row],[مبلغ ورود]]-Table14[[#This Row],[مبلغ خروج]]</f>
        <v>80776167728</v>
      </c>
      <c r="J161" s="216"/>
    </row>
    <row r="162" spans="1:10" ht="37.5">
      <c r="A162" s="1">
        <v>152</v>
      </c>
      <c r="B162" s="261" t="s">
        <v>1889</v>
      </c>
      <c r="C162" s="1">
        <v>294841</v>
      </c>
      <c r="D162" s="281" t="s">
        <v>938</v>
      </c>
      <c r="E162" s="274" t="s">
        <v>1892</v>
      </c>
      <c r="F162" s="74" t="s">
        <v>1838</v>
      </c>
      <c r="G162" s="285"/>
      <c r="H162" s="20">
        <v>10000000000</v>
      </c>
      <c r="I162" s="20">
        <f>I161+Table14[[#This Row],[مبلغ ورود]]-Table14[[#This Row],[مبلغ خروج]]</f>
        <v>70776167728</v>
      </c>
      <c r="J162" s="216"/>
    </row>
    <row r="163" spans="1:10" ht="37.5">
      <c r="A163" s="1">
        <v>153</v>
      </c>
      <c r="B163" s="261" t="s">
        <v>1889</v>
      </c>
      <c r="C163" s="1">
        <v>294842</v>
      </c>
      <c r="D163" s="281" t="s">
        <v>938</v>
      </c>
      <c r="E163" s="274" t="s">
        <v>1894</v>
      </c>
      <c r="F163" s="74" t="s">
        <v>1893</v>
      </c>
      <c r="G163" s="285"/>
      <c r="H163" s="20">
        <v>2815875000</v>
      </c>
      <c r="I163" s="20">
        <f>I162+Table14[[#This Row],[مبلغ ورود]]-Table14[[#This Row],[مبلغ خروج]]</f>
        <v>67960292728</v>
      </c>
      <c r="J163" s="216"/>
    </row>
    <row r="164" spans="1:10" ht="37.5">
      <c r="A164" s="1">
        <v>154</v>
      </c>
      <c r="B164" s="261" t="s">
        <v>1889</v>
      </c>
      <c r="C164" s="1">
        <v>294843</v>
      </c>
      <c r="D164" s="281" t="s">
        <v>938</v>
      </c>
      <c r="E164" s="274" t="s">
        <v>1895</v>
      </c>
      <c r="F164" s="74" t="s">
        <v>1896</v>
      </c>
      <c r="G164" s="285"/>
      <c r="H164" s="20">
        <v>9440242000</v>
      </c>
      <c r="I164" s="20">
        <f>I163+Table14[[#This Row],[مبلغ ورود]]-Table14[[#This Row],[مبلغ خروج]]</f>
        <v>58520050728</v>
      </c>
      <c r="J164" s="216"/>
    </row>
    <row r="165" spans="1:10" ht="21">
      <c r="A165" s="1">
        <v>155</v>
      </c>
      <c r="B165" s="261" t="s">
        <v>1889</v>
      </c>
      <c r="C165" s="283"/>
      <c r="D165" s="281" t="s">
        <v>938</v>
      </c>
      <c r="E165" s="274"/>
      <c r="F165" s="74" t="s">
        <v>1897</v>
      </c>
      <c r="G165" s="285"/>
      <c r="H165" s="20">
        <f>4905+38860+2342+250000</f>
        <v>296107</v>
      </c>
      <c r="I165" s="20">
        <f>I164+Table14[[#This Row],[مبلغ ورود]]-Table14[[#This Row],[مبلغ خروج]]</f>
        <v>58519754621</v>
      </c>
      <c r="J165" s="216"/>
    </row>
    <row r="166" spans="1:10" ht="21">
      <c r="A166" s="1">
        <v>156</v>
      </c>
      <c r="B166" s="261" t="s">
        <v>1889</v>
      </c>
      <c r="C166" s="283"/>
      <c r="D166" s="281" t="s">
        <v>938</v>
      </c>
      <c r="E166" s="274"/>
      <c r="F166" s="74" t="s">
        <v>1898</v>
      </c>
      <c r="G166" s="20">
        <v>1253891964</v>
      </c>
      <c r="I166" s="20">
        <f>I165+Table14[[#This Row],[مبلغ ورود]]-Table14[[#This Row],[مبلغ خروج]]</f>
        <v>59773646585</v>
      </c>
      <c r="J166" s="216"/>
    </row>
    <row r="167" spans="1:10" ht="21">
      <c r="A167" s="1">
        <v>157</v>
      </c>
      <c r="B167" s="261"/>
      <c r="C167" s="1">
        <v>294844</v>
      </c>
      <c r="D167" s="281"/>
      <c r="E167" s="274"/>
      <c r="F167" s="265" t="s">
        <v>1604</v>
      </c>
      <c r="G167" s="285"/>
      <c r="H167" s="20">
        <v>0</v>
      </c>
      <c r="I167" s="20">
        <f>I166+Table14[[#This Row],[مبلغ ورود]]-Table14[[#This Row],[مبلغ خروج]]</f>
        <v>59773646585</v>
      </c>
      <c r="J167" s="216"/>
    </row>
    <row r="168" spans="1:10" ht="21">
      <c r="A168" s="1">
        <v>158</v>
      </c>
      <c r="B168" s="261" t="s">
        <v>1909</v>
      </c>
      <c r="C168" s="1"/>
      <c r="D168" s="281" t="s">
        <v>938</v>
      </c>
      <c r="E168" s="274"/>
      <c r="F168" s="74" t="s">
        <v>1756</v>
      </c>
      <c r="H168" s="20">
        <f>141450</f>
        <v>141450</v>
      </c>
      <c r="I168" s="20">
        <f>I167+Table14[[#This Row],[مبلغ ورود]]-Table14[[#This Row],[مبلغ خروج]]</f>
        <v>59773505135</v>
      </c>
      <c r="J168" s="216"/>
    </row>
    <row r="169" spans="1:10" ht="56.25">
      <c r="A169" s="1">
        <v>159</v>
      </c>
      <c r="B169" s="261" t="s">
        <v>1899</v>
      </c>
      <c r="C169" s="1">
        <v>294845</v>
      </c>
      <c r="D169" s="281" t="s">
        <v>938</v>
      </c>
      <c r="E169" s="274" t="s">
        <v>1900</v>
      </c>
      <c r="F169" s="74" t="s">
        <v>1901</v>
      </c>
      <c r="G169" s="285"/>
      <c r="H169" s="20">
        <v>119464654</v>
      </c>
      <c r="I169" s="20">
        <f>I168+Table14[[#This Row],[مبلغ ورود]]-Table14[[#This Row],[مبلغ خروج]]</f>
        <v>59654040481</v>
      </c>
      <c r="J169" s="216"/>
    </row>
    <row r="170" spans="1:10" ht="21">
      <c r="A170" s="1">
        <v>160</v>
      </c>
      <c r="B170" s="261" t="s">
        <v>1899</v>
      </c>
      <c r="C170" s="1"/>
      <c r="D170" s="281" t="s">
        <v>938</v>
      </c>
      <c r="E170" s="274"/>
      <c r="F170" s="74" t="s">
        <v>1913</v>
      </c>
      <c r="G170" s="73">
        <v>73958400</v>
      </c>
      <c r="I170" s="20">
        <f>I169+Table14[[#This Row],[مبلغ ورود]]-Table14[[#This Row],[مبلغ خروج]]</f>
        <v>59727998881</v>
      </c>
      <c r="J170" s="216"/>
    </row>
    <row r="171" spans="1:10" ht="37.5">
      <c r="A171" s="1">
        <v>161</v>
      </c>
      <c r="B171" s="261" t="s">
        <v>1899</v>
      </c>
      <c r="C171" s="1">
        <v>294846</v>
      </c>
      <c r="D171" s="281" t="s">
        <v>938</v>
      </c>
      <c r="E171" s="274" t="s">
        <v>1902</v>
      </c>
      <c r="F171" s="74" t="s">
        <v>1838</v>
      </c>
      <c r="G171" s="285"/>
      <c r="H171" s="20">
        <v>25000000000</v>
      </c>
      <c r="I171" s="20">
        <f>I170+Table14[[#This Row],[مبلغ ورود]]-Table14[[#This Row],[مبلغ خروج]]</f>
        <v>34727998881</v>
      </c>
      <c r="J171" s="216"/>
    </row>
    <row r="172" spans="1:10" ht="37.5">
      <c r="A172" s="1">
        <v>162</v>
      </c>
      <c r="B172" s="261" t="s">
        <v>1899</v>
      </c>
      <c r="C172" s="1">
        <v>294847</v>
      </c>
      <c r="D172" s="281" t="s">
        <v>938</v>
      </c>
      <c r="E172" s="274" t="s">
        <v>1904</v>
      </c>
      <c r="F172" s="74" t="s">
        <v>1903</v>
      </c>
      <c r="G172" s="285"/>
      <c r="H172" s="20">
        <v>4416055430</v>
      </c>
      <c r="I172" s="20">
        <f>I171+Table14[[#This Row],[مبلغ ورود]]-Table14[[#This Row],[مبلغ خروج]]</f>
        <v>30311943451</v>
      </c>
      <c r="J172" s="216"/>
    </row>
    <row r="173" spans="1:10" ht="37.5">
      <c r="A173" s="1">
        <v>163</v>
      </c>
      <c r="B173" s="261" t="s">
        <v>1899</v>
      </c>
      <c r="C173" s="1">
        <v>294848</v>
      </c>
      <c r="D173" s="281" t="s">
        <v>938</v>
      </c>
      <c r="E173" s="274" t="s">
        <v>1905</v>
      </c>
      <c r="F173" s="74" t="s">
        <v>1906</v>
      </c>
      <c r="G173" s="285"/>
      <c r="H173" s="20">
        <v>5707009575</v>
      </c>
      <c r="I173" s="20">
        <f>I172+Table14[[#This Row],[مبلغ ورود]]-Table14[[#This Row],[مبلغ خروج]]</f>
        <v>24604933876</v>
      </c>
      <c r="J173" s="216"/>
    </row>
    <row r="174" spans="1:10" ht="21">
      <c r="A174" s="1">
        <v>164</v>
      </c>
      <c r="B174" s="261" t="s">
        <v>1908</v>
      </c>
      <c r="C174" s="283"/>
      <c r="D174" s="281" t="s">
        <v>938</v>
      </c>
      <c r="E174" s="274"/>
      <c r="F174" s="74" t="s">
        <v>1907</v>
      </c>
      <c r="G174" s="20">
        <v>100000000000</v>
      </c>
      <c r="I174" s="20">
        <f>I173+Table14[[#This Row],[مبلغ ورود]]-Table14[[#This Row],[مبلغ خروج]]</f>
        <v>124604933876</v>
      </c>
      <c r="J174" s="216"/>
    </row>
    <row r="175" spans="1:10" ht="21">
      <c r="A175" s="1">
        <v>165</v>
      </c>
      <c r="B175" s="261" t="s">
        <v>1908</v>
      </c>
      <c r="C175" s="283"/>
      <c r="D175" s="281" t="s">
        <v>938</v>
      </c>
      <c r="E175" s="274"/>
      <c r="F175" s="74" t="s">
        <v>1911</v>
      </c>
      <c r="G175" s="285"/>
      <c r="H175" s="20">
        <f>10000+250000</f>
        <v>260000</v>
      </c>
      <c r="I175" s="20">
        <f>I174+Table14[[#This Row],[مبلغ ورود]]-Table14[[#This Row],[مبلغ خروج]]</f>
        <v>124604673876</v>
      </c>
      <c r="J175" s="216"/>
    </row>
    <row r="176" spans="1:10" ht="21">
      <c r="A176" s="1">
        <v>166</v>
      </c>
      <c r="B176" s="261" t="s">
        <v>1910</v>
      </c>
      <c r="C176" s="283"/>
      <c r="D176" s="281" t="s">
        <v>938</v>
      </c>
      <c r="E176" s="274"/>
      <c r="F176" s="74" t="s">
        <v>1912</v>
      </c>
      <c r="G176" s="285"/>
      <c r="H176" s="20">
        <v>110000</v>
      </c>
      <c r="I176" s="20">
        <f>I175+Table14[[#This Row],[مبلغ ورود]]-Table14[[#This Row],[مبلغ خروج]]</f>
        <v>124604563876</v>
      </c>
      <c r="J176" s="216"/>
    </row>
    <row r="177" spans="1:10" ht="21">
      <c r="A177" s="1"/>
      <c r="B177" s="261" t="s">
        <v>1910</v>
      </c>
      <c r="C177" s="1"/>
      <c r="D177" s="281" t="s">
        <v>938</v>
      </c>
      <c r="E177" s="274"/>
      <c r="F177" s="74" t="s">
        <v>1756</v>
      </c>
      <c r="H177" s="20">
        <f>250000</f>
        <v>250000</v>
      </c>
      <c r="I177" s="20">
        <f>I176+Table14[[#This Row],[مبلغ ورود]]-Table14[[#This Row],[مبلغ خروج]]</f>
        <v>124604313876</v>
      </c>
      <c r="J177" s="216"/>
    </row>
    <row r="178" spans="1:10" ht="37.5">
      <c r="A178" s="1">
        <v>167</v>
      </c>
      <c r="B178" s="261" t="s">
        <v>1910</v>
      </c>
      <c r="C178" s="283">
        <v>294849</v>
      </c>
      <c r="D178" s="281" t="s">
        <v>938</v>
      </c>
      <c r="E178" s="274" t="s">
        <v>1914</v>
      </c>
      <c r="F178" s="74" t="s">
        <v>1819</v>
      </c>
      <c r="G178" s="285"/>
      <c r="H178" s="20">
        <v>20000000000</v>
      </c>
      <c r="I178" s="20">
        <f>I177+Table14[[#This Row],[مبلغ ورود]]-Table14[[#This Row],[مبلغ خروج]]</f>
        <v>104604313876</v>
      </c>
      <c r="J178" s="216"/>
    </row>
    <row r="179" spans="1:10" ht="37.5">
      <c r="A179" s="1">
        <v>168</v>
      </c>
      <c r="B179" s="284" t="s">
        <v>1915</v>
      </c>
      <c r="C179" s="283"/>
      <c r="D179" s="281" t="s">
        <v>938</v>
      </c>
      <c r="E179" s="274" t="s">
        <v>1916</v>
      </c>
      <c r="F179" s="74" t="s">
        <v>1767</v>
      </c>
      <c r="G179" s="285"/>
      <c r="H179" s="20">
        <v>5000000000</v>
      </c>
      <c r="I179" s="20">
        <f>I178+Table14[[#This Row],[مبلغ ورود]]-Table14[[#This Row],[مبلغ خروج]]</f>
        <v>99604313876</v>
      </c>
      <c r="J179" s="216"/>
    </row>
    <row r="180" spans="1:10" ht="37.5">
      <c r="A180" s="1">
        <v>169</v>
      </c>
      <c r="B180" s="284" t="s">
        <v>1915</v>
      </c>
      <c r="C180" s="283"/>
      <c r="D180" s="281" t="s">
        <v>938</v>
      </c>
      <c r="E180" s="274" t="s">
        <v>1916</v>
      </c>
      <c r="F180" s="74" t="s">
        <v>1780</v>
      </c>
      <c r="G180" s="285"/>
      <c r="H180" s="20">
        <v>11000000000</v>
      </c>
      <c r="I180" s="20">
        <f>I179+Table14[[#This Row],[مبلغ ورود]]-Table14[[#This Row],[مبلغ خروج]]</f>
        <v>88604313876</v>
      </c>
      <c r="J180" s="216"/>
    </row>
    <row r="181" spans="1:10" ht="21">
      <c r="A181" s="1">
        <v>170</v>
      </c>
      <c r="B181" s="284" t="s">
        <v>1915</v>
      </c>
      <c r="C181" s="1"/>
      <c r="D181" s="281" t="s">
        <v>938</v>
      </c>
      <c r="E181" s="274"/>
      <c r="F181" s="74" t="s">
        <v>1756</v>
      </c>
      <c r="H181" s="20">
        <v>250000</v>
      </c>
      <c r="I181" s="20">
        <f>I180+Table14[[#This Row],[مبلغ ورود]]-Table14[[#This Row],[مبلغ خروج]]</f>
        <v>88604063876</v>
      </c>
      <c r="J181" s="216"/>
    </row>
    <row r="182" spans="1:10" ht="21">
      <c r="A182" s="283">
        <v>171</v>
      </c>
      <c r="B182" s="261" t="s">
        <v>1917</v>
      </c>
      <c r="C182" s="283"/>
      <c r="D182" s="281" t="s">
        <v>938</v>
      </c>
      <c r="E182" s="274"/>
      <c r="F182" s="74" t="s">
        <v>1918</v>
      </c>
      <c r="G182" s="285"/>
      <c r="H182" s="20">
        <f>250000+250000</f>
        <v>500000</v>
      </c>
      <c r="I182" s="20">
        <f>I181+Table14[[#This Row],[مبلغ ورود]]-Table14[[#This Row],[مبلغ خروج]]</f>
        <v>88603563876</v>
      </c>
      <c r="J182" s="216"/>
    </row>
    <row r="183" spans="1:10" ht="56.25">
      <c r="A183" s="283">
        <v>172</v>
      </c>
      <c r="B183" s="261" t="s">
        <v>1919</v>
      </c>
      <c r="C183" s="283">
        <v>294850</v>
      </c>
      <c r="D183" s="281" t="s">
        <v>938</v>
      </c>
      <c r="E183" s="274" t="s">
        <v>1920</v>
      </c>
      <c r="F183" s="74" t="s">
        <v>1921</v>
      </c>
      <c r="G183" s="285"/>
      <c r="H183" s="20">
        <v>107527170</v>
      </c>
      <c r="I183" s="20">
        <f>I182+Table14[[#This Row],[مبلغ ورود]]-Table14[[#This Row],[مبلغ خروج]]</f>
        <v>88496036706</v>
      </c>
      <c r="J183" s="216"/>
    </row>
    <row r="184" spans="1:10" ht="37.5">
      <c r="A184" s="283">
        <v>173</v>
      </c>
      <c r="B184" s="261" t="s">
        <v>1919</v>
      </c>
      <c r="C184" s="283">
        <v>542901</v>
      </c>
      <c r="D184" s="281" t="s">
        <v>938</v>
      </c>
      <c r="E184" s="274" t="s">
        <v>1923</v>
      </c>
      <c r="F184" s="74" t="s">
        <v>1922</v>
      </c>
      <c r="G184" s="285"/>
      <c r="H184" s="20">
        <v>307500000</v>
      </c>
      <c r="I184" s="20">
        <f>I183+Table14[[#This Row],[مبلغ ورود]]-Table14[[#This Row],[مبلغ خروج]]</f>
        <v>88188536706</v>
      </c>
      <c r="J184" s="216"/>
    </row>
    <row r="185" spans="1:10" ht="21">
      <c r="A185" s="283">
        <v>174</v>
      </c>
      <c r="B185" s="261" t="s">
        <v>1919</v>
      </c>
      <c r="C185" s="283"/>
      <c r="D185" s="281" t="s">
        <v>938</v>
      </c>
      <c r="E185" s="274"/>
      <c r="F185" s="74" t="s">
        <v>1924</v>
      </c>
      <c r="G185" s="285">
        <v>30000000</v>
      </c>
      <c r="I185" s="20">
        <f>I184+Table14[[#This Row],[مبلغ ورود]]-Table14[[#This Row],[مبلغ خروج]]</f>
        <v>88218536706</v>
      </c>
      <c r="J185" s="216"/>
    </row>
    <row r="186" spans="1:10" ht="21">
      <c r="A186" s="283">
        <v>175</v>
      </c>
      <c r="B186" s="261" t="s">
        <v>1925</v>
      </c>
      <c r="C186" s="1"/>
      <c r="D186" s="281" t="s">
        <v>938</v>
      </c>
      <c r="E186" s="274"/>
      <c r="F186" s="74" t="s">
        <v>1692</v>
      </c>
      <c r="G186" s="73">
        <v>150000000000</v>
      </c>
      <c r="I186" s="20">
        <f>I185+Table14[[#This Row],[مبلغ ورود]]-Table14[[#This Row],[مبلغ خروج]]</f>
        <v>238218536706</v>
      </c>
      <c r="J186" s="216"/>
    </row>
    <row r="187" spans="1:10" ht="21">
      <c r="A187" s="283">
        <v>176</v>
      </c>
      <c r="B187" s="261" t="s">
        <v>1925</v>
      </c>
      <c r="C187" s="1"/>
      <c r="D187" s="281" t="s">
        <v>938</v>
      </c>
      <c r="E187" s="274"/>
      <c r="F187" s="74" t="s">
        <v>1924</v>
      </c>
      <c r="G187" s="73">
        <v>2659000</v>
      </c>
      <c r="I187" s="20">
        <f>I186+Table14[[#This Row],[مبلغ ورود]]-Table14[[#This Row],[مبلغ خروج]]</f>
        <v>238221195706</v>
      </c>
      <c r="J187" s="216"/>
    </row>
    <row r="188" spans="1:10" ht="37.5">
      <c r="A188" s="283">
        <v>177</v>
      </c>
      <c r="B188" s="261" t="s">
        <v>1925</v>
      </c>
      <c r="C188" s="1">
        <v>542902</v>
      </c>
      <c r="D188" s="281" t="s">
        <v>938</v>
      </c>
      <c r="E188" s="274" t="s">
        <v>1926</v>
      </c>
      <c r="F188" s="74" t="s">
        <v>1838</v>
      </c>
      <c r="H188" s="20">
        <v>10000000000</v>
      </c>
      <c r="I188" s="20">
        <f>I187+Table14[[#This Row],[مبلغ ورود]]-Table14[[#This Row],[مبلغ خروج]]</f>
        <v>228221195706</v>
      </c>
      <c r="J188" s="216"/>
    </row>
    <row r="189" spans="1:10" ht="37.5">
      <c r="A189" s="283">
        <v>178</v>
      </c>
      <c r="B189" s="261" t="s">
        <v>1925</v>
      </c>
      <c r="C189" s="1">
        <v>542903</v>
      </c>
      <c r="D189" s="281" t="s">
        <v>938</v>
      </c>
      <c r="E189" s="274" t="s">
        <v>1927</v>
      </c>
      <c r="F189" s="74" t="s">
        <v>1933</v>
      </c>
      <c r="H189" s="20">
        <v>397000000</v>
      </c>
      <c r="I189" s="20">
        <f>I188+Table14[[#This Row],[مبلغ ورود]]-Table14[[#This Row],[مبلغ خروج]]</f>
        <v>227824195706</v>
      </c>
      <c r="J189" s="216"/>
    </row>
    <row r="190" spans="1:10" ht="56.25">
      <c r="A190" s="283">
        <v>179</v>
      </c>
      <c r="B190" s="261" t="s">
        <v>1925</v>
      </c>
      <c r="C190" s="1">
        <v>542904</v>
      </c>
      <c r="D190" s="281" t="s">
        <v>938</v>
      </c>
      <c r="E190" s="274" t="s">
        <v>1928</v>
      </c>
      <c r="F190" s="74" t="s">
        <v>1934</v>
      </c>
      <c r="H190" s="20">
        <v>351562397</v>
      </c>
      <c r="I190" s="20">
        <f>I189+Table14[[#This Row],[مبلغ ورود]]-Table14[[#This Row],[مبلغ خروج]]</f>
        <v>227472633309</v>
      </c>
      <c r="J190" s="216"/>
    </row>
    <row r="191" spans="1:10" ht="37.5">
      <c r="A191" s="283">
        <v>180</v>
      </c>
      <c r="B191" s="261" t="s">
        <v>1925</v>
      </c>
      <c r="C191" s="1">
        <v>542905</v>
      </c>
      <c r="D191" s="281" t="s">
        <v>938</v>
      </c>
      <c r="E191" s="274" t="s">
        <v>1929</v>
      </c>
      <c r="F191" s="74" t="s">
        <v>1935</v>
      </c>
      <c r="H191" s="20">
        <v>66584000</v>
      </c>
      <c r="I191" s="20">
        <f>I190+Table14[[#This Row],[مبلغ ورود]]-Table14[[#This Row],[مبلغ خروج]]</f>
        <v>227406049309</v>
      </c>
      <c r="J191" s="216"/>
    </row>
    <row r="192" spans="1:10" ht="37.5">
      <c r="A192" s="1">
        <v>181</v>
      </c>
      <c r="B192" s="261" t="s">
        <v>1925</v>
      </c>
      <c r="C192" s="1">
        <v>542906</v>
      </c>
      <c r="D192" s="281" t="s">
        <v>938</v>
      </c>
      <c r="E192" s="274" t="s">
        <v>1930</v>
      </c>
      <c r="F192" s="74" t="s">
        <v>1936</v>
      </c>
      <c r="H192" s="20">
        <v>58642000</v>
      </c>
      <c r="I192" s="20">
        <f>I191+Table14[[#This Row],[مبلغ ورود]]-Table14[[#This Row],[مبلغ خروج]]</f>
        <v>227347407309</v>
      </c>
      <c r="J192" s="216"/>
    </row>
    <row r="193" spans="1:10" ht="37.5">
      <c r="A193" s="1">
        <v>182</v>
      </c>
      <c r="B193" s="261" t="s">
        <v>1925</v>
      </c>
      <c r="C193" s="1">
        <v>542907</v>
      </c>
      <c r="D193" s="281" t="s">
        <v>938</v>
      </c>
      <c r="E193" s="274" t="s">
        <v>1931</v>
      </c>
      <c r="F193" s="74" t="s">
        <v>1937</v>
      </c>
      <c r="H193" s="20">
        <v>1777850000</v>
      </c>
      <c r="I193" s="20">
        <f>I192+Table14[[#This Row],[مبلغ ورود]]-Table14[[#This Row],[مبلغ خروج]]</f>
        <v>225569557309</v>
      </c>
      <c r="J193" s="216"/>
    </row>
    <row r="194" spans="1:10" ht="37.5">
      <c r="A194" s="1">
        <v>183</v>
      </c>
      <c r="B194" s="261" t="s">
        <v>1925</v>
      </c>
      <c r="C194" s="1">
        <v>542908</v>
      </c>
      <c r="D194" s="281" t="s">
        <v>938</v>
      </c>
      <c r="E194" s="274" t="s">
        <v>1932</v>
      </c>
      <c r="F194" s="74" t="s">
        <v>1945</v>
      </c>
      <c r="H194" s="20">
        <v>18021519100</v>
      </c>
      <c r="I194" s="20">
        <f>I193+Table14[[#This Row],[مبلغ ورود]]-Table14[[#This Row],[مبلغ خروج]]</f>
        <v>207548038209</v>
      </c>
      <c r="J194" s="216"/>
    </row>
    <row r="195" spans="1:10" ht="37.5">
      <c r="A195" s="1">
        <v>184</v>
      </c>
      <c r="B195" s="261" t="s">
        <v>1925</v>
      </c>
      <c r="C195" s="1">
        <v>542909</v>
      </c>
      <c r="D195" s="281" t="s">
        <v>938</v>
      </c>
      <c r="E195" s="274" t="s">
        <v>1938</v>
      </c>
      <c r="F195" s="74" t="s">
        <v>1941</v>
      </c>
      <c r="H195" s="20">
        <v>3277955765</v>
      </c>
      <c r="I195" s="20">
        <f>I194+Table14[[#This Row],[مبلغ ورود]]-Table14[[#This Row],[مبلغ خروج]]</f>
        <v>204270082444</v>
      </c>
      <c r="J195" s="216"/>
    </row>
    <row r="196" spans="1:10" ht="37.5">
      <c r="A196" s="1">
        <v>185</v>
      </c>
      <c r="B196" s="261" t="s">
        <v>1925</v>
      </c>
      <c r="C196" s="1">
        <v>542910</v>
      </c>
      <c r="D196" s="281" t="s">
        <v>938</v>
      </c>
      <c r="E196" s="274" t="s">
        <v>1939</v>
      </c>
      <c r="F196" s="74" t="s">
        <v>1942</v>
      </c>
      <c r="H196" s="20">
        <v>4105322000</v>
      </c>
      <c r="I196" s="20">
        <f>I195+Table14[[#This Row],[مبلغ ورود]]-Table14[[#This Row],[مبلغ خروج]]</f>
        <v>200164760444</v>
      </c>
      <c r="J196" s="216"/>
    </row>
    <row r="197" spans="1:10" ht="37.5">
      <c r="A197" s="1">
        <v>186</v>
      </c>
      <c r="B197" s="261" t="s">
        <v>1925</v>
      </c>
      <c r="C197" s="1">
        <v>542911</v>
      </c>
      <c r="D197" s="281" t="s">
        <v>938</v>
      </c>
      <c r="E197" s="274" t="s">
        <v>1940</v>
      </c>
      <c r="F197" s="74" t="s">
        <v>1943</v>
      </c>
      <c r="H197" s="20">
        <v>5365000000</v>
      </c>
      <c r="I197" s="20">
        <f>I196+Table14[[#This Row],[مبلغ ورود]]-Table14[[#This Row],[مبلغ خروج]]</f>
        <v>194799760444</v>
      </c>
      <c r="J197" s="216"/>
    </row>
    <row r="198" spans="1:10" ht="37.5">
      <c r="A198" s="1">
        <v>187</v>
      </c>
      <c r="B198" s="261" t="s">
        <v>1925</v>
      </c>
      <c r="C198" s="1">
        <v>542912</v>
      </c>
      <c r="D198" s="281" t="s">
        <v>938</v>
      </c>
      <c r="E198" s="274" t="s">
        <v>1944</v>
      </c>
      <c r="F198" s="74" t="s">
        <v>1946</v>
      </c>
      <c r="H198" s="20">
        <v>8351409960</v>
      </c>
      <c r="I198" s="20">
        <f>I197+Table14[[#This Row],[مبلغ ورود]]-Table14[[#This Row],[مبلغ خروج]]</f>
        <v>186448350484</v>
      </c>
      <c r="J198" s="216"/>
    </row>
    <row r="199" spans="1:10" ht="37.5">
      <c r="A199" s="1">
        <v>188</v>
      </c>
      <c r="B199" s="261" t="s">
        <v>1925</v>
      </c>
      <c r="C199" s="283">
        <v>542913</v>
      </c>
      <c r="D199" s="281" t="s">
        <v>938</v>
      </c>
      <c r="E199" s="274" t="s">
        <v>1948</v>
      </c>
      <c r="F199" s="74" t="s">
        <v>1947</v>
      </c>
      <c r="G199" s="285"/>
      <c r="H199" s="20">
        <v>32700000</v>
      </c>
      <c r="I199" s="20">
        <f>I198+Table14[[#This Row],[مبلغ ورود]]-Table14[[#This Row],[مبلغ خروج]]</f>
        <v>186415650484</v>
      </c>
      <c r="J199" s="216"/>
    </row>
    <row r="200" spans="1:10" ht="21">
      <c r="A200" s="1">
        <v>189</v>
      </c>
      <c r="B200" s="261" t="s">
        <v>1952</v>
      </c>
      <c r="C200" s="1"/>
      <c r="D200" s="281" t="s">
        <v>938</v>
      </c>
      <c r="E200" s="274"/>
      <c r="F200" s="74" t="s">
        <v>1953</v>
      </c>
      <c r="H200" s="20">
        <f>70312+79400+6658+3270+5864+250000</f>
        <v>415504</v>
      </c>
      <c r="I200" s="20">
        <f>I199+Table14[[#This Row],[مبلغ ورود]]-Table14[[#This Row],[مبلغ خروج]]</f>
        <v>186415234980</v>
      </c>
      <c r="J200" s="216"/>
    </row>
    <row r="201" spans="1:10" ht="37.5">
      <c r="A201" s="287">
        <v>190</v>
      </c>
      <c r="B201" s="288" t="s">
        <v>1951</v>
      </c>
      <c r="C201" s="287">
        <v>542914</v>
      </c>
      <c r="D201" s="19" t="s">
        <v>938</v>
      </c>
      <c r="E201" s="274" t="s">
        <v>1950</v>
      </c>
      <c r="F201" s="74" t="s">
        <v>1949</v>
      </c>
      <c r="G201" s="285"/>
      <c r="H201" s="20">
        <v>416000000</v>
      </c>
      <c r="I201" s="20">
        <f>I200+Table14[[#This Row],[مبلغ ورود]]-Table14[[#This Row],[مبلغ خروج]]</f>
        <v>185999234980</v>
      </c>
      <c r="J201" s="216"/>
    </row>
    <row r="202" spans="1:10" ht="21">
      <c r="A202" s="289">
        <v>191</v>
      </c>
      <c r="B202" s="288" t="s">
        <v>1951</v>
      </c>
      <c r="C202" s="289"/>
      <c r="D202" s="19" t="s">
        <v>938</v>
      </c>
      <c r="E202" s="274"/>
      <c r="F202" s="74" t="s">
        <v>1756</v>
      </c>
      <c r="G202" s="290"/>
      <c r="H202" s="20">
        <f>250000+250000+61500</f>
        <v>561500</v>
      </c>
      <c r="I202" s="20">
        <f>I201+Table14[[#This Row],[مبلغ ورود]]-Table14[[#This Row],[مبلغ خروج]]</f>
        <v>185998673480</v>
      </c>
      <c r="J202" s="216"/>
    </row>
    <row r="203" spans="1:10" ht="37.5">
      <c r="A203" s="289">
        <v>192</v>
      </c>
      <c r="B203" s="288" t="s">
        <v>1951</v>
      </c>
      <c r="C203" s="289">
        <v>542915</v>
      </c>
      <c r="D203" s="19" t="s">
        <v>938</v>
      </c>
      <c r="E203" s="274" t="s">
        <v>1954</v>
      </c>
      <c r="F203" s="74" t="s">
        <v>1955</v>
      </c>
      <c r="G203" s="290"/>
      <c r="H203" s="20">
        <v>20181424000</v>
      </c>
      <c r="I203" s="20">
        <f>I202+Table14[[#This Row],[مبلغ ورود]]-Table14[[#This Row],[مبلغ خروج]]</f>
        <v>165817249480</v>
      </c>
      <c r="J203" s="216"/>
    </row>
    <row r="204" spans="1:10" ht="37.5">
      <c r="A204" s="289">
        <v>193</v>
      </c>
      <c r="B204" s="288" t="s">
        <v>1956</v>
      </c>
      <c r="C204" s="289">
        <v>542916</v>
      </c>
      <c r="D204" s="19" t="s">
        <v>938</v>
      </c>
      <c r="E204" s="274" t="s">
        <v>1957</v>
      </c>
      <c r="F204" s="74" t="s">
        <v>1960</v>
      </c>
      <c r="G204" s="290"/>
      <c r="H204" s="20">
        <v>10728707358</v>
      </c>
      <c r="I204" s="20">
        <f>I203+Table14[[#This Row],[مبلغ ورود]]-Table14[[#This Row],[مبلغ خروج]]</f>
        <v>155088542122</v>
      </c>
      <c r="J204" s="216"/>
    </row>
    <row r="205" spans="1:10" ht="37.5">
      <c r="A205" s="289">
        <v>194</v>
      </c>
      <c r="B205" s="288" t="s">
        <v>1956</v>
      </c>
      <c r="C205" s="289">
        <v>542917</v>
      </c>
      <c r="D205" s="19" t="s">
        <v>938</v>
      </c>
      <c r="E205" s="274" t="s">
        <v>1958</v>
      </c>
      <c r="F205" s="74" t="s">
        <v>1959</v>
      </c>
      <c r="G205" s="290"/>
      <c r="H205" s="20">
        <v>15000000000</v>
      </c>
      <c r="I205" s="20">
        <f>I204+Table14[[#This Row],[مبلغ ورود]]-Table14[[#This Row],[مبلغ خروج]]</f>
        <v>140088542122</v>
      </c>
      <c r="J205" s="216"/>
    </row>
    <row r="206" spans="1:10" ht="37.5">
      <c r="A206" s="289">
        <v>195</v>
      </c>
      <c r="B206" s="288" t="s">
        <v>1956</v>
      </c>
      <c r="C206" s="289">
        <v>542918</v>
      </c>
      <c r="D206" s="19" t="s">
        <v>938</v>
      </c>
      <c r="E206" s="274" t="s">
        <v>1961</v>
      </c>
      <c r="F206" s="74" t="s">
        <v>1962</v>
      </c>
      <c r="G206" s="290"/>
      <c r="H206" s="20">
        <v>114061333</v>
      </c>
      <c r="I206" s="20">
        <f>I205+Table14[[#This Row],[مبلغ ورود]]-Table14[[#This Row],[مبلغ خروج]]</f>
        <v>139974480789</v>
      </c>
      <c r="J206" s="216"/>
    </row>
    <row r="207" spans="1:10" ht="37.5">
      <c r="A207" s="289">
        <v>196</v>
      </c>
      <c r="B207" s="288" t="s">
        <v>1956</v>
      </c>
      <c r="C207" s="289">
        <v>542919</v>
      </c>
      <c r="D207" s="19" t="s">
        <v>938</v>
      </c>
      <c r="E207" s="274" t="s">
        <v>1964</v>
      </c>
      <c r="F207" s="74" t="s">
        <v>1963</v>
      </c>
      <c r="G207" s="290"/>
      <c r="H207" s="20">
        <v>104585000</v>
      </c>
      <c r="I207" s="20">
        <f>I206+Table14[[#This Row],[مبلغ ورود]]-Table14[[#This Row],[مبلغ خروج]]</f>
        <v>139869895789</v>
      </c>
      <c r="J207" s="216"/>
    </row>
    <row r="208" spans="1:10" ht="37.5">
      <c r="A208" s="289">
        <v>197</v>
      </c>
      <c r="B208" s="288" t="s">
        <v>1956</v>
      </c>
      <c r="C208" s="289">
        <v>542920</v>
      </c>
      <c r="D208" s="19" t="s">
        <v>938</v>
      </c>
      <c r="E208" s="274" t="s">
        <v>1965</v>
      </c>
      <c r="F208" s="74" t="s">
        <v>1838</v>
      </c>
      <c r="G208" s="290"/>
      <c r="H208" s="20">
        <v>40000000000</v>
      </c>
      <c r="I208" s="20">
        <f>I207+Table14[[#This Row],[مبلغ ورود]]-Table14[[#This Row],[مبلغ خروج]]</f>
        <v>99869895789</v>
      </c>
      <c r="J208" s="216"/>
    </row>
    <row r="209" spans="1:10" ht="37.5">
      <c r="A209" s="289">
        <v>198</v>
      </c>
      <c r="B209" s="288" t="s">
        <v>1967</v>
      </c>
      <c r="C209" s="289">
        <v>542921</v>
      </c>
      <c r="D209" s="19" t="s">
        <v>938</v>
      </c>
      <c r="E209" s="274" t="s">
        <v>1968</v>
      </c>
      <c r="F209" s="74" t="s">
        <v>1966</v>
      </c>
      <c r="G209" s="290"/>
      <c r="H209" s="20">
        <v>8393789497</v>
      </c>
      <c r="I209" s="20">
        <f>I208+Table14[[#This Row],[مبلغ ورود]]-Table14[[#This Row],[مبلغ خروج]]</f>
        <v>91476106292</v>
      </c>
      <c r="J209" s="216"/>
    </row>
    <row r="210" spans="1:10" ht="56.25">
      <c r="A210" s="289">
        <v>199</v>
      </c>
      <c r="B210" s="288" t="s">
        <v>1967</v>
      </c>
      <c r="C210" s="289">
        <v>542922</v>
      </c>
      <c r="D210" s="19" t="s">
        <v>938</v>
      </c>
      <c r="E210" s="274" t="s">
        <v>1969</v>
      </c>
      <c r="F210" s="74" t="s">
        <v>1970</v>
      </c>
      <c r="G210" s="290"/>
      <c r="H210" s="20">
        <v>97071490</v>
      </c>
      <c r="I210" s="20">
        <f>I209+Table14[[#This Row],[مبلغ ورود]]-Table14[[#This Row],[مبلغ خروج]]</f>
        <v>91379034802</v>
      </c>
      <c r="J210" s="216"/>
    </row>
    <row r="211" spans="1:10" ht="21">
      <c r="A211" s="289">
        <v>200</v>
      </c>
      <c r="B211" s="288" t="s">
        <v>1971</v>
      </c>
      <c r="C211" s="289"/>
      <c r="D211" s="19" t="s">
        <v>938</v>
      </c>
      <c r="E211" s="274"/>
      <c r="F211" s="74" t="s">
        <v>1756</v>
      </c>
      <c r="G211" s="290"/>
      <c r="H211" s="20">
        <f>250000+11406+10458</f>
        <v>271864</v>
      </c>
      <c r="I211" s="20">
        <f>I210+Table14[[#This Row],[مبلغ ورود]]-Table14[[#This Row],[مبلغ خروج]]</f>
        <v>91378762938</v>
      </c>
      <c r="J211" s="216"/>
    </row>
    <row r="212" spans="1:10" ht="21">
      <c r="A212" s="289">
        <v>201</v>
      </c>
      <c r="B212" s="288" t="s">
        <v>1972</v>
      </c>
      <c r="C212" s="289">
        <v>542923</v>
      </c>
      <c r="D212" s="19" t="s">
        <v>938</v>
      </c>
      <c r="E212" s="274" t="s">
        <v>1973</v>
      </c>
      <c r="F212" s="74" t="s">
        <v>1975</v>
      </c>
      <c r="G212" s="290"/>
      <c r="H212" s="20">
        <v>902208884</v>
      </c>
      <c r="I212" s="20">
        <f>I211+Table14[[#This Row],[مبلغ ورود]]-Table14[[#This Row],[مبلغ خروج]]</f>
        <v>90476554054</v>
      </c>
      <c r="J212" s="216"/>
    </row>
    <row r="213" spans="1:10" ht="21">
      <c r="A213" s="289">
        <v>202</v>
      </c>
      <c r="B213" s="288" t="s">
        <v>1972</v>
      </c>
      <c r="C213" s="289">
        <v>542924</v>
      </c>
      <c r="D213" s="19" t="s">
        <v>938</v>
      </c>
      <c r="E213" s="274" t="s">
        <v>1974</v>
      </c>
      <c r="F213" s="74" t="s">
        <v>1976</v>
      </c>
      <c r="G213" s="290"/>
      <c r="H213" s="20">
        <v>539357198</v>
      </c>
      <c r="I213" s="20">
        <f>I212+Table14[[#This Row],[مبلغ ورود]]-Table14[[#This Row],[مبلغ خروج]]</f>
        <v>89937196856</v>
      </c>
      <c r="J213" s="216"/>
    </row>
    <row r="214" spans="1:10" ht="37.5">
      <c r="A214" s="273">
        <v>203</v>
      </c>
      <c r="B214" s="288" t="s">
        <v>1972</v>
      </c>
      <c r="C214" s="273">
        <v>542925</v>
      </c>
      <c r="D214" s="19" t="s">
        <v>938</v>
      </c>
      <c r="E214" s="272" t="s">
        <v>1978</v>
      </c>
      <c r="F214" s="74" t="s">
        <v>1981</v>
      </c>
      <c r="H214" s="20">
        <v>19000000</v>
      </c>
      <c r="I214" s="20">
        <f>I213+Table14[[#This Row],[مبلغ ورود]]-Table14[[#This Row],[مبلغ خروج]]</f>
        <v>89918196856</v>
      </c>
      <c r="J214" s="216"/>
    </row>
    <row r="215" spans="1:10" ht="37.5">
      <c r="A215" s="1">
        <v>204</v>
      </c>
      <c r="B215" s="288" t="s">
        <v>1972</v>
      </c>
      <c r="C215" s="1">
        <v>542926</v>
      </c>
      <c r="D215" s="19" t="s">
        <v>938</v>
      </c>
      <c r="E215" s="274" t="s">
        <v>1979</v>
      </c>
      <c r="F215" s="74" t="s">
        <v>1838</v>
      </c>
      <c r="H215" s="20">
        <v>50000000000</v>
      </c>
      <c r="I215" s="20">
        <f>I214+Table14[[#This Row],[مبلغ ورود]]-Table14[[#This Row],[مبلغ خروج]]</f>
        <v>39918196856</v>
      </c>
      <c r="J215" s="216"/>
    </row>
    <row r="216" spans="1:10" ht="37.5">
      <c r="A216" s="1">
        <v>205</v>
      </c>
      <c r="B216" s="288" t="s">
        <v>1972</v>
      </c>
      <c r="C216" s="1">
        <v>542927</v>
      </c>
      <c r="D216" s="19" t="s">
        <v>938</v>
      </c>
      <c r="E216" s="274" t="s">
        <v>1980</v>
      </c>
      <c r="F216" s="74" t="s">
        <v>1977</v>
      </c>
      <c r="H216" s="20">
        <v>3000000000</v>
      </c>
      <c r="I216" s="20">
        <f>I215+Table14[[#This Row],[مبلغ ورود]]-Table14[[#This Row],[مبلغ خروج]]</f>
        <v>36918196856</v>
      </c>
      <c r="J216" s="216"/>
    </row>
    <row r="217" spans="1:10" ht="21">
      <c r="A217" s="1">
        <v>206</v>
      </c>
      <c r="B217" s="288" t="s">
        <v>1972</v>
      </c>
      <c r="C217" s="291"/>
      <c r="D217" s="19" t="s">
        <v>938</v>
      </c>
      <c r="E217" s="274"/>
      <c r="F217" s="74" t="s">
        <v>1756</v>
      </c>
      <c r="G217" s="292"/>
      <c r="H217" s="20">
        <f>250000+250000</f>
        <v>500000</v>
      </c>
      <c r="I217" s="20">
        <f>I216+Table14[[#This Row],[مبلغ ورود]]-Table14[[#This Row],[مبلغ خروج]]</f>
        <v>36917696856</v>
      </c>
      <c r="J217" s="216"/>
    </row>
    <row r="218" spans="1:10" ht="21">
      <c r="A218" s="1">
        <v>207</v>
      </c>
      <c r="B218" s="261" t="s">
        <v>1983</v>
      </c>
      <c r="C218" s="291"/>
      <c r="D218" s="19" t="s">
        <v>938</v>
      </c>
      <c r="E218" s="274"/>
      <c r="F218" s="74" t="s">
        <v>1992</v>
      </c>
      <c r="G218" s="292"/>
      <c r="H218" s="20">
        <f>156000+171000+312000</f>
        <v>639000</v>
      </c>
      <c r="I218" s="20">
        <f>I217+Table14[[#This Row],[مبلغ ورود]]-Table14[[#This Row],[مبلغ خروج]]</f>
        <v>36917057856</v>
      </c>
      <c r="J218" s="216"/>
    </row>
    <row r="219" spans="1:10" ht="56.25">
      <c r="A219" s="1">
        <v>208</v>
      </c>
      <c r="B219" s="261" t="s">
        <v>1983</v>
      </c>
      <c r="C219" s="1">
        <v>542928</v>
      </c>
      <c r="D219" s="19" t="s">
        <v>938</v>
      </c>
      <c r="E219" s="274" t="s">
        <v>1984</v>
      </c>
      <c r="F219" s="74" t="s">
        <v>1982</v>
      </c>
      <c r="H219" s="20">
        <v>379494984</v>
      </c>
      <c r="I219" s="20">
        <f>I218+Table14[[#This Row],[مبلغ ورود]]-Table14[[#This Row],[مبلغ خروج]]</f>
        <v>36537562872</v>
      </c>
      <c r="J219" s="216"/>
    </row>
    <row r="220" spans="1:10" ht="37.5">
      <c r="A220" s="1">
        <v>209</v>
      </c>
      <c r="B220" s="261" t="s">
        <v>1983</v>
      </c>
      <c r="C220" s="1">
        <v>542929</v>
      </c>
      <c r="D220" s="19" t="s">
        <v>938</v>
      </c>
      <c r="E220" s="274" t="s">
        <v>1985</v>
      </c>
      <c r="F220" s="74" t="s">
        <v>1987</v>
      </c>
      <c r="H220" s="20">
        <v>2655000000</v>
      </c>
      <c r="I220" s="20">
        <f>I219+Table14[[#This Row],[مبلغ ورود]]-Table14[[#This Row],[مبلغ خروج]]</f>
        <v>33882562872</v>
      </c>
      <c r="J220" s="216"/>
    </row>
    <row r="221" spans="1:10" ht="56.25">
      <c r="A221" s="1">
        <v>210</v>
      </c>
      <c r="B221" s="261" t="s">
        <v>1983</v>
      </c>
      <c r="C221" s="273">
        <v>542930</v>
      </c>
      <c r="D221" s="19" t="s">
        <v>938</v>
      </c>
      <c r="E221" s="272" t="s">
        <v>1986</v>
      </c>
      <c r="F221" s="197" t="s">
        <v>1988</v>
      </c>
      <c r="H221" s="20">
        <v>887166000</v>
      </c>
      <c r="I221" s="20">
        <f>I220+Table14[[#This Row],[مبلغ ورود]]-Table14[[#This Row],[مبلغ خروج]]</f>
        <v>32995396872</v>
      </c>
      <c r="J221" s="216"/>
    </row>
    <row r="222" spans="1:10" ht="21">
      <c r="A222" s="1">
        <v>211</v>
      </c>
      <c r="B222" s="261" t="s">
        <v>1983</v>
      </c>
      <c r="C222" s="291"/>
      <c r="D222" s="19" t="s">
        <v>938</v>
      </c>
      <c r="E222" s="274"/>
      <c r="F222" s="74" t="s">
        <v>1989</v>
      </c>
      <c r="G222" s="20">
        <v>382250600</v>
      </c>
      <c r="I222" s="20">
        <f>I221+Table14[[#This Row],[مبلغ ورود]]-Table14[[#This Row],[مبلغ خروج]]</f>
        <v>33377647472</v>
      </c>
      <c r="J222" s="216"/>
    </row>
    <row r="223" spans="1:10" ht="21">
      <c r="A223" s="1">
        <v>212</v>
      </c>
      <c r="B223" s="261" t="s">
        <v>1983</v>
      </c>
      <c r="C223" s="291"/>
      <c r="D223" s="19" t="s">
        <v>938</v>
      </c>
      <c r="E223" s="274"/>
      <c r="F223" s="74" t="s">
        <v>1990</v>
      </c>
      <c r="G223" s="292"/>
      <c r="H223" s="20">
        <v>12000</v>
      </c>
      <c r="I223" s="20">
        <f>I222+Table14[[#This Row],[مبلغ ورود]]-Table14[[#This Row],[مبلغ خروج]]</f>
        <v>33377635472</v>
      </c>
      <c r="J223" s="216"/>
    </row>
    <row r="224" spans="1:10" ht="21">
      <c r="A224" s="1">
        <v>213</v>
      </c>
      <c r="B224" s="261" t="s">
        <v>1983</v>
      </c>
      <c r="C224" s="291"/>
      <c r="D224" s="19" t="s">
        <v>938</v>
      </c>
      <c r="E224" s="274"/>
      <c r="F224" s="74" t="s">
        <v>1991</v>
      </c>
      <c r="G224" s="20">
        <v>156000</v>
      </c>
      <c r="I224" s="20">
        <f>I223+Table14[[#This Row],[مبلغ ورود]]-Table14[[#This Row],[مبلغ خروج]]</f>
        <v>33377791472</v>
      </c>
      <c r="J224" s="216"/>
    </row>
    <row r="225" spans="1:10" ht="21">
      <c r="A225" s="1">
        <v>214</v>
      </c>
      <c r="B225" s="261" t="s">
        <v>1995</v>
      </c>
      <c r="C225" s="291"/>
      <c r="D225" s="19" t="s">
        <v>938</v>
      </c>
      <c r="E225" s="274"/>
      <c r="F225" s="74" t="s">
        <v>1994</v>
      </c>
      <c r="G225" s="20">
        <v>3849866600</v>
      </c>
      <c r="I225" s="20">
        <f>I224+Table14[[#This Row],[مبلغ ورود]]-Table14[[#This Row],[مبلغ خروج]]</f>
        <v>37227658072</v>
      </c>
      <c r="J225" s="216"/>
    </row>
    <row r="226" spans="1:10" ht="21">
      <c r="A226" s="1">
        <v>215</v>
      </c>
      <c r="B226" s="261" t="s">
        <v>1995</v>
      </c>
      <c r="C226" s="291"/>
      <c r="D226" s="19" t="s">
        <v>938</v>
      </c>
      <c r="E226" s="274"/>
      <c r="F226" s="74" t="s">
        <v>1993</v>
      </c>
      <c r="G226" s="20">
        <v>250000</v>
      </c>
      <c r="I226" s="20">
        <f>I225+Table14[[#This Row],[مبلغ ورود]]-Table14[[#This Row],[مبلغ خروج]]</f>
        <v>37227908072</v>
      </c>
      <c r="J226" s="216"/>
    </row>
    <row r="227" spans="1:10" ht="37.5">
      <c r="A227" s="1">
        <v>216</v>
      </c>
      <c r="B227" s="261" t="s">
        <v>1996</v>
      </c>
      <c r="C227" s="273">
        <v>542931</v>
      </c>
      <c r="D227" s="19" t="s">
        <v>938</v>
      </c>
      <c r="E227" s="274" t="s">
        <v>1997</v>
      </c>
      <c r="F227" s="197" t="s">
        <v>1998</v>
      </c>
      <c r="G227" s="292"/>
      <c r="H227" s="20">
        <v>25000000000</v>
      </c>
      <c r="I227" s="20">
        <f>I226+Table14[[#This Row],[مبلغ ورود]]-Table14[[#This Row],[مبلغ خروج]]</f>
        <v>12227908072</v>
      </c>
      <c r="J227" s="216"/>
    </row>
    <row r="228" spans="1:10" ht="37.5">
      <c r="A228" s="1">
        <v>217</v>
      </c>
      <c r="B228" s="261" t="s">
        <v>1996</v>
      </c>
      <c r="C228" s="273">
        <v>542932</v>
      </c>
      <c r="D228" s="19" t="s">
        <v>938</v>
      </c>
      <c r="E228" s="274" t="s">
        <v>1999</v>
      </c>
      <c r="F228" s="197" t="s">
        <v>2001</v>
      </c>
      <c r="G228" s="292"/>
      <c r="H228" s="20">
        <v>5882250</v>
      </c>
      <c r="I228" s="20">
        <f>I227+Table14[[#This Row],[مبلغ ورود]]-Table14[[#This Row],[مبلغ خروج]]</f>
        <v>12222025822</v>
      </c>
      <c r="J228" s="216"/>
    </row>
    <row r="229" spans="1:10" ht="37.5">
      <c r="A229" s="1">
        <v>218</v>
      </c>
      <c r="B229" s="261" t="s">
        <v>1996</v>
      </c>
      <c r="C229" s="273">
        <v>542933</v>
      </c>
      <c r="D229" s="19" t="s">
        <v>938</v>
      </c>
      <c r="E229" s="274" t="s">
        <v>2000</v>
      </c>
      <c r="F229" s="74" t="s">
        <v>2002</v>
      </c>
      <c r="G229" s="292"/>
      <c r="H229" s="20">
        <v>152554360</v>
      </c>
      <c r="I229" s="20">
        <f>I228+Table14[[#This Row],[مبلغ ورود]]-Table14[[#This Row],[مبلغ خروج]]</f>
        <v>12069471462</v>
      </c>
      <c r="J229" s="216"/>
    </row>
    <row r="230" spans="1:10" ht="37.5">
      <c r="A230" s="1">
        <v>219</v>
      </c>
      <c r="B230" s="261" t="s">
        <v>1996</v>
      </c>
      <c r="C230" s="273">
        <v>542934</v>
      </c>
      <c r="D230" s="19" t="s">
        <v>938</v>
      </c>
      <c r="E230" s="274" t="s">
        <v>2003</v>
      </c>
      <c r="F230" s="197" t="s">
        <v>1819</v>
      </c>
      <c r="G230" s="292"/>
      <c r="H230" s="20">
        <v>5000000000</v>
      </c>
      <c r="I230" s="20">
        <f>I229+Table14[[#This Row],[مبلغ ورود]]-Table14[[#This Row],[مبلغ خروج]]</f>
        <v>7069471462</v>
      </c>
      <c r="J230" s="216"/>
    </row>
    <row r="231" spans="1:10" ht="37.5">
      <c r="A231" s="1">
        <v>220</v>
      </c>
      <c r="B231" s="261" t="s">
        <v>2004</v>
      </c>
      <c r="C231" s="273">
        <v>542935</v>
      </c>
      <c r="D231" s="19" t="s">
        <v>938</v>
      </c>
      <c r="E231" s="274" t="s">
        <v>2005</v>
      </c>
      <c r="F231" s="74" t="s">
        <v>2006</v>
      </c>
      <c r="G231" s="292"/>
      <c r="H231" s="20">
        <v>1577833716</v>
      </c>
      <c r="I231" s="20">
        <f>I230+Table14[[#This Row],[مبلغ ورود]]-Table14[[#This Row],[مبلغ خروج]]</f>
        <v>5491637746</v>
      </c>
      <c r="J231" s="216"/>
    </row>
    <row r="232" spans="1:10" ht="37.5">
      <c r="A232" s="1">
        <v>221</v>
      </c>
      <c r="B232" s="261" t="s">
        <v>2004</v>
      </c>
      <c r="C232" s="273">
        <v>542936</v>
      </c>
      <c r="D232" s="19" t="s">
        <v>938</v>
      </c>
      <c r="E232" s="274" t="s">
        <v>2007</v>
      </c>
      <c r="F232" s="74" t="s">
        <v>2008</v>
      </c>
      <c r="G232" s="292"/>
      <c r="H232" s="20">
        <v>1718023700</v>
      </c>
      <c r="I232" s="20">
        <f>I231+Table14[[#This Row],[مبلغ ورود]]-Table14[[#This Row],[مبلغ خروج]]</f>
        <v>3773614046</v>
      </c>
      <c r="J232" s="216"/>
    </row>
    <row r="233" spans="1:10" ht="37.5">
      <c r="A233" s="1">
        <v>222</v>
      </c>
      <c r="B233" s="261" t="s">
        <v>2004</v>
      </c>
      <c r="C233" s="1">
        <v>542937</v>
      </c>
      <c r="D233" s="19" t="s">
        <v>938</v>
      </c>
      <c r="E233" s="274" t="s">
        <v>2009</v>
      </c>
      <c r="F233" s="74" t="s">
        <v>2010</v>
      </c>
      <c r="H233" s="20">
        <v>5500000000</v>
      </c>
      <c r="I233" s="20">
        <f>I232+Table14[[#This Row],[مبلغ ورود]]-Table14[[#This Row],[مبلغ خروج]]</f>
        <v>-1726385954</v>
      </c>
      <c r="J233" s="216"/>
    </row>
    <row r="234" spans="1:10" ht="37.5">
      <c r="A234" s="1">
        <v>223</v>
      </c>
      <c r="B234" s="261" t="s">
        <v>2004</v>
      </c>
      <c r="C234" s="1">
        <v>542938</v>
      </c>
      <c r="D234" s="19" t="s">
        <v>938</v>
      </c>
      <c r="E234" s="274" t="s">
        <v>2012</v>
      </c>
      <c r="F234" s="74" t="s">
        <v>2011</v>
      </c>
      <c r="H234" s="20">
        <v>5255220000</v>
      </c>
      <c r="I234" s="20">
        <f>I233+Table14[[#This Row],[مبلغ ورود]]-Table14[[#This Row],[مبلغ خروج]]</f>
        <v>-6981605954</v>
      </c>
      <c r="J234" s="216"/>
    </row>
    <row r="235" spans="1:10" ht="37.5">
      <c r="A235" s="293">
        <v>224</v>
      </c>
      <c r="B235" s="261" t="s">
        <v>2004</v>
      </c>
      <c r="C235" s="1"/>
      <c r="D235" s="19" t="s">
        <v>938</v>
      </c>
      <c r="E235" s="274"/>
      <c r="F235" s="74" t="s">
        <v>2014</v>
      </c>
      <c r="G235" s="73">
        <v>20000000000</v>
      </c>
      <c r="I235" s="20">
        <f>I234+Table14[[#This Row],[مبلغ ورود]]-Table14[[#This Row],[مبلغ خروج]]</f>
        <v>13018394046</v>
      </c>
      <c r="J235" s="216"/>
    </row>
    <row r="236" spans="1:10" ht="21">
      <c r="A236" s="1">
        <v>225</v>
      </c>
      <c r="B236" s="261" t="s">
        <v>2004</v>
      </c>
      <c r="C236" s="1"/>
      <c r="D236" s="19" t="s">
        <v>938</v>
      </c>
      <c r="E236" s="274"/>
      <c r="F236" s="74" t="s">
        <v>1756</v>
      </c>
      <c r="H236" s="20">
        <f>30510+250000+2000</f>
        <v>282510</v>
      </c>
      <c r="I236" s="20">
        <f>I235+Table14[[#This Row],[مبلغ ورود]]-Table14[[#This Row],[مبلغ خروج]]</f>
        <v>13018111536</v>
      </c>
      <c r="J236" s="216"/>
    </row>
    <row r="237" spans="1:10" ht="37.5">
      <c r="A237" s="1">
        <v>226</v>
      </c>
      <c r="B237" s="261" t="s">
        <v>2013</v>
      </c>
      <c r="C237" s="1">
        <v>542939</v>
      </c>
      <c r="D237" s="19" t="s">
        <v>938</v>
      </c>
      <c r="E237" s="274" t="s">
        <v>2015</v>
      </c>
      <c r="F237" s="74" t="s">
        <v>2016</v>
      </c>
      <c r="H237" s="20">
        <v>15000000</v>
      </c>
      <c r="I237" s="20">
        <f>I236+Table14[[#This Row],[مبلغ ورود]]-Table14[[#This Row],[مبلغ خروج]]</f>
        <v>13003111536</v>
      </c>
      <c r="J237" s="216"/>
    </row>
    <row r="238" spans="1:10" ht="21">
      <c r="A238" s="1">
        <v>227</v>
      </c>
      <c r="B238" s="261" t="s">
        <v>2013</v>
      </c>
      <c r="C238" s="294"/>
      <c r="D238" s="19" t="s">
        <v>938</v>
      </c>
      <c r="E238" s="274"/>
      <c r="F238" s="74" t="s">
        <v>2017</v>
      </c>
      <c r="G238" s="73">
        <v>1258832611</v>
      </c>
      <c r="I238" s="20">
        <f>I237+Table14[[#This Row],[مبلغ ورود]]-Table14[[#This Row],[مبلغ خروج]]</f>
        <v>14261944147</v>
      </c>
      <c r="J238" s="216"/>
    </row>
    <row r="239" spans="1:10" ht="21">
      <c r="A239" s="1">
        <v>229</v>
      </c>
      <c r="B239" s="261" t="s">
        <v>2031</v>
      </c>
      <c r="C239" s="1"/>
      <c r="D239" s="19" t="s">
        <v>938</v>
      </c>
      <c r="E239" s="274"/>
      <c r="F239" s="74" t="s">
        <v>1756</v>
      </c>
      <c r="G239" s="219"/>
      <c r="H239" s="20">
        <f>250000+175433+177433</f>
        <v>602866</v>
      </c>
      <c r="I239" s="20">
        <f>I238+Table14[[#This Row],[مبلغ ورود]]-Table14[[#This Row],[مبلغ خروج]]</f>
        <v>14261341281</v>
      </c>
      <c r="J239" s="216"/>
    </row>
    <row r="240" spans="1:10" ht="37.5">
      <c r="A240" s="1">
        <v>230</v>
      </c>
      <c r="B240" s="261" t="s">
        <v>2018</v>
      </c>
      <c r="C240" s="1">
        <v>542940</v>
      </c>
      <c r="D240" s="19" t="s">
        <v>938</v>
      </c>
      <c r="E240" s="274" t="s">
        <v>2019</v>
      </c>
      <c r="F240" s="74" t="s">
        <v>2020</v>
      </c>
      <c r="G240" s="295"/>
      <c r="H240" s="20">
        <v>110000000</v>
      </c>
      <c r="I240" s="20">
        <f>I239+Table14[[#This Row],[مبلغ ورود]]-Table14[[#This Row],[مبلغ خروج]]</f>
        <v>14151341281</v>
      </c>
      <c r="J240" s="216"/>
    </row>
    <row r="241" spans="1:10" ht="37.5">
      <c r="A241" s="1">
        <v>231</v>
      </c>
      <c r="B241" s="261" t="s">
        <v>2018</v>
      </c>
      <c r="C241" s="294">
        <v>542941</v>
      </c>
      <c r="D241" s="19" t="s">
        <v>938</v>
      </c>
      <c r="E241" s="274" t="s">
        <v>2021</v>
      </c>
      <c r="F241" s="74" t="s">
        <v>2024</v>
      </c>
      <c r="G241" s="295"/>
      <c r="H241" s="20">
        <v>3290643500</v>
      </c>
      <c r="I241" s="20">
        <f>I240+Table14[[#This Row],[مبلغ ورود]]-Table14[[#This Row],[مبلغ خروج]]</f>
        <v>10860697781</v>
      </c>
      <c r="J241" s="216"/>
    </row>
    <row r="242" spans="1:10" ht="37.5">
      <c r="A242" s="1">
        <v>232</v>
      </c>
      <c r="B242" s="261" t="s">
        <v>2018</v>
      </c>
      <c r="C242" s="1">
        <v>542942</v>
      </c>
      <c r="D242" s="19" t="s">
        <v>938</v>
      </c>
      <c r="E242" s="274" t="s">
        <v>2022</v>
      </c>
      <c r="F242" s="74" t="s">
        <v>2025</v>
      </c>
      <c r="H242" s="20">
        <v>12616922174</v>
      </c>
      <c r="I242" s="20">
        <f>I241+Table14[[#This Row],[مبلغ ورود]]-Table14[[#This Row],[مبلغ خروج]]</f>
        <v>-1756224393</v>
      </c>
      <c r="J242" s="216"/>
    </row>
    <row r="243" spans="1:10" ht="56.25">
      <c r="A243" s="1">
        <v>233</v>
      </c>
      <c r="B243" s="261" t="s">
        <v>2018</v>
      </c>
      <c r="C243" s="1">
        <v>542943</v>
      </c>
      <c r="D243" s="19" t="s">
        <v>938</v>
      </c>
      <c r="E243" s="274" t="s">
        <v>2023</v>
      </c>
      <c r="F243" s="74" t="s">
        <v>2027</v>
      </c>
      <c r="H243" s="20">
        <f>102854174+197796488+142710000+17850000+683057204</f>
        <v>1144267866</v>
      </c>
      <c r="I243" s="20">
        <f>I242+Table14[[#This Row],[مبلغ ورود]]-Table14[[#This Row],[مبلغ خروج]]</f>
        <v>-2900492259</v>
      </c>
      <c r="J243" s="216"/>
    </row>
    <row r="244" spans="1:10" ht="37.5">
      <c r="A244" s="1">
        <v>234</v>
      </c>
      <c r="B244" s="261" t="s">
        <v>2018</v>
      </c>
      <c r="C244" s="1"/>
      <c r="D244" s="19" t="s">
        <v>938</v>
      </c>
      <c r="E244" s="274"/>
      <c r="F244" s="74" t="s">
        <v>2026</v>
      </c>
      <c r="G244" s="219">
        <v>10000000000</v>
      </c>
      <c r="I244" s="20">
        <f>I243+Table14[[#This Row],[مبلغ ورود]]-Table14[[#This Row],[مبلغ خروج]]</f>
        <v>7099507741</v>
      </c>
      <c r="J244" s="216"/>
    </row>
    <row r="245" spans="1:10" ht="21">
      <c r="A245" s="1">
        <v>235</v>
      </c>
      <c r="B245" s="261" t="s">
        <v>2032</v>
      </c>
      <c r="C245" s="1"/>
      <c r="D245" s="19" t="s">
        <v>938</v>
      </c>
      <c r="E245" s="274"/>
      <c r="F245" s="74" t="s">
        <v>1756</v>
      </c>
      <c r="G245" s="219"/>
      <c r="H245" s="20">
        <f>10000</f>
        <v>10000</v>
      </c>
      <c r="I245" s="20">
        <f>I244+Table14[[#This Row],[مبلغ ورود]]-Table14[[#This Row],[مبلغ خروج]]</f>
        <v>7099497741</v>
      </c>
      <c r="J245" s="216"/>
    </row>
    <row r="246" spans="1:10" ht="21">
      <c r="A246" s="1">
        <v>236</v>
      </c>
      <c r="B246" s="261" t="s">
        <v>2033</v>
      </c>
      <c r="C246" s="1"/>
      <c r="D246" s="19" t="s">
        <v>938</v>
      </c>
      <c r="E246" s="274"/>
      <c r="F246" s="74" t="s">
        <v>1756</v>
      </c>
      <c r="G246" s="219"/>
      <c r="H246" s="20">
        <v>75898</v>
      </c>
      <c r="I246" s="20">
        <f>I245+Table14[[#This Row],[مبلغ ورود]]-Table14[[#This Row],[مبلغ خروج]]</f>
        <v>7099421843</v>
      </c>
      <c r="J246" s="216"/>
    </row>
    <row r="247" spans="1:10" ht="37.5">
      <c r="A247" s="1">
        <v>237</v>
      </c>
      <c r="B247" s="261" t="s">
        <v>2028</v>
      </c>
      <c r="C247" s="1">
        <v>542944</v>
      </c>
      <c r="D247" s="19" t="s">
        <v>938</v>
      </c>
      <c r="E247" s="274" t="s">
        <v>2030</v>
      </c>
      <c r="F247" s="74" t="s">
        <v>2029</v>
      </c>
      <c r="H247" s="20">
        <v>1200000000</v>
      </c>
      <c r="I247" s="20">
        <f>I246+Table14[[#This Row],[مبلغ ورود]]-Table14[[#This Row],[مبلغ خروج]]</f>
        <v>5899421843</v>
      </c>
      <c r="J247" s="216"/>
    </row>
    <row r="248" spans="1:10" ht="21">
      <c r="A248" s="1">
        <v>238</v>
      </c>
      <c r="B248" s="261" t="s">
        <v>2028</v>
      </c>
      <c r="C248" s="294"/>
      <c r="D248" s="19" t="s">
        <v>938</v>
      </c>
      <c r="E248" s="274"/>
      <c r="F248" s="74" t="s">
        <v>1756</v>
      </c>
      <c r="G248" s="295"/>
      <c r="H248" s="20">
        <f>12000</f>
        <v>12000</v>
      </c>
      <c r="I248" s="20">
        <f>I247+Table14[[#This Row],[مبلغ ورود]]-Table14[[#This Row],[مبلغ خروج]]</f>
        <v>5899409843</v>
      </c>
      <c r="J248" s="216"/>
    </row>
    <row r="249" spans="1:10" ht="21">
      <c r="A249" s="1">
        <v>239</v>
      </c>
      <c r="B249" s="261"/>
      <c r="C249" s="1"/>
      <c r="D249" s="19" t="s">
        <v>938</v>
      </c>
      <c r="E249" s="274"/>
      <c r="F249" s="74" t="s">
        <v>2034</v>
      </c>
      <c r="H249" s="20">
        <v>110000</v>
      </c>
      <c r="I249" s="20">
        <f>I248+Table14[[#This Row],[مبلغ ورود]]-Table14[[#This Row],[مبلغ خروج]]</f>
        <v>5899299843</v>
      </c>
      <c r="J249" s="216"/>
    </row>
    <row r="250" spans="1:10" ht="37.5">
      <c r="A250" s="1">
        <v>240</v>
      </c>
      <c r="B250" s="261" t="s">
        <v>2035</v>
      </c>
      <c r="C250" s="1">
        <v>542945</v>
      </c>
      <c r="D250" s="19" t="s">
        <v>938</v>
      </c>
      <c r="E250" s="274" t="s">
        <v>2036</v>
      </c>
      <c r="F250" s="74" t="s">
        <v>2037</v>
      </c>
      <c r="H250" s="20">
        <v>5533425000</v>
      </c>
      <c r="I250" s="20">
        <f>I249+Table14[[#This Row],[مبلغ ورود]]-Table14[[#This Row],[مبلغ خروج]]</f>
        <v>365874843</v>
      </c>
      <c r="J250" s="216"/>
    </row>
    <row r="251" spans="1:10" ht="21">
      <c r="A251" s="1">
        <v>241</v>
      </c>
      <c r="B251" s="261" t="s">
        <v>2038</v>
      </c>
      <c r="C251" s="1"/>
      <c r="D251" s="19" t="s">
        <v>938</v>
      </c>
      <c r="E251" s="274"/>
      <c r="F251" s="74" t="s">
        <v>1756</v>
      </c>
      <c r="H251" s="20">
        <v>250000</v>
      </c>
      <c r="I251" s="20">
        <f>I250+Table14[[#This Row],[مبلغ ورود]]-Table14[[#This Row],[مبلغ خروج]]</f>
        <v>365624843</v>
      </c>
      <c r="J251" s="216"/>
    </row>
    <row r="252" spans="1:10" ht="21">
      <c r="A252" s="1">
        <v>242</v>
      </c>
      <c r="B252" s="261" t="s">
        <v>2040</v>
      </c>
      <c r="C252" s="1"/>
      <c r="D252" s="19" t="s">
        <v>938</v>
      </c>
      <c r="E252" s="274"/>
      <c r="F252" s="74" t="s">
        <v>2039</v>
      </c>
      <c r="G252" s="73">
        <v>12399089</v>
      </c>
      <c r="I252" s="20">
        <f>I251+Table14[[#This Row],[مبلغ ورود]]-Table14[[#This Row],[مبلغ خروج]]</f>
        <v>378023932</v>
      </c>
      <c r="J252" s="216"/>
    </row>
    <row r="253" spans="1:10" ht="21">
      <c r="A253" s="1">
        <v>243</v>
      </c>
      <c r="B253" s="261" t="s">
        <v>2044</v>
      </c>
      <c r="C253" s="296"/>
      <c r="D253" s="19" t="s">
        <v>938</v>
      </c>
      <c r="E253" s="274"/>
      <c r="F253" s="74" t="s">
        <v>2061</v>
      </c>
      <c r="G253" s="20">
        <v>100000000000</v>
      </c>
      <c r="I253" s="20">
        <f>I252+Table14[[#This Row],[مبلغ ورود]]-Table14[[#This Row],[مبلغ خروج]]</f>
        <v>100378023932</v>
      </c>
      <c r="J253" s="216"/>
    </row>
    <row r="254" spans="1:10" ht="21">
      <c r="A254" s="1">
        <v>244</v>
      </c>
      <c r="B254" s="261" t="s">
        <v>2044</v>
      </c>
      <c r="C254" s="1">
        <v>542946</v>
      </c>
      <c r="D254" s="19" t="s">
        <v>938</v>
      </c>
      <c r="E254" s="274" t="s">
        <v>2045</v>
      </c>
      <c r="F254" s="74" t="s">
        <v>2041</v>
      </c>
      <c r="G254" s="297"/>
      <c r="H254" s="20">
        <v>1003468943</v>
      </c>
      <c r="I254" s="20">
        <f>I253+Table14[[#This Row],[مبلغ ورود]]-Table14[[#This Row],[مبلغ خروج]]</f>
        <v>99374554989</v>
      </c>
      <c r="J254" s="216"/>
    </row>
    <row r="255" spans="1:10" ht="37.5">
      <c r="A255" s="1">
        <v>245</v>
      </c>
      <c r="B255" s="261" t="s">
        <v>2044</v>
      </c>
      <c r="C255" s="1">
        <v>542947</v>
      </c>
      <c r="D255" s="19" t="s">
        <v>938</v>
      </c>
      <c r="E255" s="274" t="s">
        <v>2046</v>
      </c>
      <c r="F255" s="74" t="s">
        <v>2042</v>
      </c>
      <c r="G255" s="297"/>
      <c r="H255" s="20">
        <v>650234708</v>
      </c>
      <c r="I255" s="20">
        <f>I254+Table14[[#This Row],[مبلغ ورود]]-Table14[[#This Row],[مبلغ خروج]]</f>
        <v>98724320281</v>
      </c>
      <c r="J255" s="216"/>
    </row>
    <row r="256" spans="1:10" ht="37.5">
      <c r="A256" s="1">
        <v>246</v>
      </c>
      <c r="B256" s="261" t="s">
        <v>2044</v>
      </c>
      <c r="C256" s="1">
        <v>542948</v>
      </c>
      <c r="D256" s="19" t="s">
        <v>938</v>
      </c>
      <c r="E256" s="274" t="s">
        <v>2047</v>
      </c>
      <c r="F256" s="74" t="s">
        <v>2043</v>
      </c>
      <c r="G256" s="297"/>
      <c r="H256" s="20">
        <v>4000000000</v>
      </c>
      <c r="I256" s="20">
        <f>I255+Table14[[#This Row],[مبلغ ورود]]-Table14[[#This Row],[مبلغ خروج]]</f>
        <v>94724320281</v>
      </c>
      <c r="J256" s="216"/>
    </row>
    <row r="257" spans="1:10" ht="37.5">
      <c r="A257" s="1">
        <v>247</v>
      </c>
      <c r="B257" s="261" t="s">
        <v>2044</v>
      </c>
      <c r="C257" s="1">
        <v>542949</v>
      </c>
      <c r="D257" s="19" t="s">
        <v>938</v>
      </c>
      <c r="E257" s="274" t="s">
        <v>2048</v>
      </c>
      <c r="F257" s="74" t="s">
        <v>2049</v>
      </c>
      <c r="G257" s="297"/>
      <c r="H257" s="220">
        <v>50000000000</v>
      </c>
      <c r="I257" s="20">
        <f>I256+Table14[[#This Row],[مبلغ ورود]]-Table14[[#This Row],[مبلغ خروج]]</f>
        <v>44724320281</v>
      </c>
      <c r="J257" s="216"/>
    </row>
    <row r="258" spans="1:10" ht="37.5">
      <c r="A258" s="296">
        <v>248</v>
      </c>
      <c r="B258" s="261" t="s">
        <v>2051</v>
      </c>
      <c r="C258" s="296">
        <v>542950</v>
      </c>
      <c r="D258" s="19" t="s">
        <v>938</v>
      </c>
      <c r="E258" s="274" t="s">
        <v>2052</v>
      </c>
      <c r="F258" s="74" t="s">
        <v>2050</v>
      </c>
      <c r="G258" s="297"/>
      <c r="H258" s="220">
        <v>25000000000</v>
      </c>
      <c r="I258" s="20">
        <f>I257+Table14[[#This Row],[مبلغ ورود]]-Table14[[#This Row],[مبلغ خروج]]</f>
        <v>19724320281</v>
      </c>
      <c r="J258" s="216"/>
    </row>
    <row r="259" spans="1:10" ht="21">
      <c r="A259" s="296">
        <v>249</v>
      </c>
      <c r="B259" s="261" t="s">
        <v>2051</v>
      </c>
      <c r="C259" s="1"/>
      <c r="D259" s="19" t="s">
        <v>938</v>
      </c>
      <c r="E259" s="274"/>
      <c r="F259" s="74" t="s">
        <v>1756</v>
      </c>
      <c r="H259" s="20">
        <f>250000+30000</f>
        <v>280000</v>
      </c>
      <c r="I259" s="20">
        <f>I258+Table14[[#This Row],[مبلغ ورود]]-Table14[[#This Row],[مبلغ خروج]]</f>
        <v>19724040281</v>
      </c>
      <c r="J259" s="216"/>
    </row>
    <row r="260" spans="1:10" ht="21">
      <c r="A260" s="296">
        <v>250</v>
      </c>
      <c r="B260" s="261" t="s">
        <v>2060</v>
      </c>
      <c r="C260" s="1"/>
      <c r="D260" s="19" t="s">
        <v>938</v>
      </c>
      <c r="E260" s="274"/>
      <c r="F260" s="74" t="s">
        <v>1756</v>
      </c>
      <c r="H260" s="20">
        <v>250000</v>
      </c>
      <c r="I260" s="20">
        <f>I259+Table14[[#This Row],[مبلغ ورود]]-Table14[[#This Row],[مبلغ خروج]]</f>
        <v>19723790281</v>
      </c>
      <c r="J260" s="216"/>
    </row>
    <row r="261" spans="1:10" ht="37.5">
      <c r="A261" s="296">
        <v>251</v>
      </c>
      <c r="B261" s="261" t="s">
        <v>2055</v>
      </c>
      <c r="C261" s="1">
        <v>787151</v>
      </c>
      <c r="D261" s="19" t="s">
        <v>938</v>
      </c>
      <c r="E261" s="274" t="s">
        <v>2054</v>
      </c>
      <c r="F261" s="74" t="s">
        <v>2056</v>
      </c>
      <c r="H261" s="20">
        <v>374428815</v>
      </c>
      <c r="I261" s="20">
        <f>I260+Table14[[#This Row],[مبلغ ورود]]-Table14[[#This Row],[مبلغ خروج]]</f>
        <v>19349361466</v>
      </c>
      <c r="J261" s="216"/>
    </row>
    <row r="262" spans="1:10" ht="37.5">
      <c r="A262" s="296">
        <v>252</v>
      </c>
      <c r="B262" s="261" t="s">
        <v>2053</v>
      </c>
      <c r="C262" s="1">
        <v>787152</v>
      </c>
      <c r="D262" s="19" t="s">
        <v>938</v>
      </c>
      <c r="E262" s="274" t="s">
        <v>2057</v>
      </c>
      <c r="F262" s="74" t="s">
        <v>2049</v>
      </c>
      <c r="H262" s="220">
        <v>10000000000</v>
      </c>
      <c r="I262" s="20">
        <f>I261+Table14[[#This Row],[مبلغ ورود]]-Table14[[#This Row],[مبلغ خروج]]</f>
        <v>9349361466</v>
      </c>
      <c r="J262" s="216"/>
    </row>
    <row r="263" spans="1:10" ht="21">
      <c r="A263" s="296">
        <v>253</v>
      </c>
      <c r="B263" s="261" t="s">
        <v>2058</v>
      </c>
      <c r="C263" s="1"/>
      <c r="D263" s="19" t="s">
        <v>938</v>
      </c>
      <c r="E263" s="274"/>
      <c r="F263" s="74" t="s">
        <v>2059</v>
      </c>
      <c r="G263" s="73">
        <v>1255071820</v>
      </c>
      <c r="I263" s="20">
        <f>I262+Table14[[#This Row],[مبلغ ورود]]-Table14[[#This Row],[مبلغ خروج]]</f>
        <v>10604433286</v>
      </c>
      <c r="J263" s="216"/>
    </row>
    <row r="264" spans="1:10" ht="21">
      <c r="A264" s="1">
        <v>254</v>
      </c>
      <c r="B264" s="261" t="s">
        <v>2058</v>
      </c>
      <c r="C264" s="1"/>
      <c r="D264" s="19" t="s">
        <v>938</v>
      </c>
      <c r="E264" s="274"/>
      <c r="F264" s="74" t="s">
        <v>1756</v>
      </c>
      <c r="H264" s="20">
        <v>250000</v>
      </c>
      <c r="I264" s="20">
        <f>I263+Table14[[#This Row],[مبلغ ورود]]-Table14[[#This Row],[مبلغ خروج]]</f>
        <v>10604183286</v>
      </c>
      <c r="J264" s="216"/>
    </row>
    <row r="265" spans="1:10" ht="21">
      <c r="A265" s="1">
        <v>255</v>
      </c>
      <c r="B265" s="261" t="s">
        <v>2062</v>
      </c>
      <c r="C265" s="1"/>
      <c r="D265" s="19" t="s">
        <v>938</v>
      </c>
      <c r="E265" s="274"/>
      <c r="F265" s="74" t="s">
        <v>2061</v>
      </c>
      <c r="G265" s="73">
        <v>100000000000</v>
      </c>
      <c r="I265" s="20">
        <f>I264+Table14[[#This Row],[مبلغ ورود]]-Table14[[#This Row],[مبلغ خروج]]</f>
        <v>110604183286</v>
      </c>
      <c r="J265" s="216"/>
    </row>
    <row r="266" spans="1:10" ht="21">
      <c r="A266" s="1">
        <v>261</v>
      </c>
      <c r="B266" s="261" t="s">
        <v>2062</v>
      </c>
      <c r="C266" s="1"/>
      <c r="D266" s="19" t="s">
        <v>938</v>
      </c>
      <c r="E266" s="274"/>
      <c r="F266" s="74" t="s">
        <v>2075</v>
      </c>
      <c r="H266" s="20">
        <v>150000</v>
      </c>
      <c r="I266" s="20">
        <f>I265+Table14[[#This Row],[مبلغ ورود]]-Table14[[#This Row],[مبلغ خروج]]</f>
        <v>110604033286</v>
      </c>
      <c r="J266" s="216"/>
    </row>
    <row r="267" spans="1:10" ht="37.5">
      <c r="A267" s="1">
        <v>256</v>
      </c>
      <c r="B267" s="261" t="s">
        <v>2064</v>
      </c>
      <c r="C267" s="1">
        <v>787153</v>
      </c>
      <c r="D267" s="19" t="s">
        <v>938</v>
      </c>
      <c r="E267" s="274" t="s">
        <v>2065</v>
      </c>
      <c r="F267" s="74" t="s">
        <v>2063</v>
      </c>
      <c r="H267" s="20">
        <v>18219211690</v>
      </c>
      <c r="I267" s="20">
        <f>I266+Table14[[#This Row],[مبلغ ورود]]-Table14[[#This Row],[مبلغ خروج]]</f>
        <v>92384821596</v>
      </c>
      <c r="J267" s="216"/>
    </row>
    <row r="268" spans="1:10" ht="37.5">
      <c r="A268" s="1">
        <v>257</v>
      </c>
      <c r="B268" s="261" t="s">
        <v>2064</v>
      </c>
      <c r="C268" s="1">
        <v>787154</v>
      </c>
      <c r="D268" s="19" t="s">
        <v>938</v>
      </c>
      <c r="E268" s="274" t="s">
        <v>2066</v>
      </c>
      <c r="F268" s="74" t="s">
        <v>2068</v>
      </c>
      <c r="H268" s="20">
        <v>25000000000</v>
      </c>
      <c r="I268" s="20">
        <f>I267+Table14[[#This Row],[مبلغ ورود]]-Table14[[#This Row],[مبلغ خروج]]</f>
        <v>67384821596</v>
      </c>
      <c r="J268" s="216"/>
    </row>
    <row r="269" spans="1:10" ht="56.25">
      <c r="A269" s="1">
        <v>258</v>
      </c>
      <c r="B269" s="261" t="s">
        <v>2064</v>
      </c>
      <c r="C269" s="1">
        <v>787155</v>
      </c>
      <c r="D269" s="19" t="s">
        <v>938</v>
      </c>
      <c r="E269" s="274" t="s">
        <v>2067</v>
      </c>
      <c r="F269" s="74" t="s">
        <v>2069</v>
      </c>
      <c r="H269" s="20">
        <v>349271216</v>
      </c>
      <c r="I269" s="20">
        <f>I268+Table14[[#This Row],[مبلغ ورود]]-Table14[[#This Row],[مبلغ خروج]]</f>
        <v>67035550380</v>
      </c>
      <c r="J269" s="216"/>
    </row>
    <row r="270" spans="1:10" ht="37.5">
      <c r="A270" s="1">
        <v>259</v>
      </c>
      <c r="B270" s="261" t="s">
        <v>2071</v>
      </c>
      <c r="C270" s="1">
        <v>787156</v>
      </c>
      <c r="D270" s="19" t="s">
        <v>938</v>
      </c>
      <c r="E270" s="274" t="s">
        <v>2072</v>
      </c>
      <c r="F270" s="74" t="s">
        <v>2070</v>
      </c>
      <c r="H270" s="20">
        <v>10000000000</v>
      </c>
      <c r="I270" s="20">
        <f>I269+Table14[[#This Row],[مبلغ ورود]]-Table14[[#This Row],[مبلغ خروج]]</f>
        <v>57035550380</v>
      </c>
      <c r="J270" s="216"/>
    </row>
    <row r="271" spans="1:10" ht="37.5">
      <c r="A271" s="1">
        <v>260</v>
      </c>
      <c r="B271" s="261" t="s">
        <v>2071</v>
      </c>
      <c r="C271" s="1">
        <v>787157</v>
      </c>
      <c r="D271" s="19" t="s">
        <v>938</v>
      </c>
      <c r="E271" s="274" t="s">
        <v>2074</v>
      </c>
      <c r="F271" s="74" t="s">
        <v>2073</v>
      </c>
      <c r="H271" s="20">
        <v>32171093850</v>
      </c>
      <c r="I271" s="20">
        <f>I270+Table14[[#This Row],[مبلغ ورود]]-Table14[[#This Row],[مبلغ خروج]]</f>
        <v>24864456530</v>
      </c>
      <c r="J271" s="216"/>
    </row>
    <row r="272" spans="1:10" ht="21">
      <c r="A272" s="291">
        <v>261</v>
      </c>
      <c r="B272" s="261" t="s">
        <v>2076</v>
      </c>
      <c r="C272" s="291"/>
      <c r="D272" s="19" t="s">
        <v>938</v>
      </c>
      <c r="E272" s="274"/>
      <c r="F272" s="265" t="s">
        <v>1756</v>
      </c>
      <c r="G272" s="292"/>
      <c r="H272" s="20">
        <f>250000+250000</f>
        <v>500000</v>
      </c>
      <c r="I272" s="20">
        <f>I271+Table14[[#This Row],[مبلغ ورود]]-Table14[[#This Row],[مبلغ خروج]]</f>
        <v>24863956530</v>
      </c>
      <c r="J272" s="216"/>
    </row>
    <row r="273" spans="1:10" ht="37.5">
      <c r="A273" s="1">
        <v>262</v>
      </c>
      <c r="B273" s="261" t="s">
        <v>2078</v>
      </c>
      <c r="C273" s="1">
        <v>787158</v>
      </c>
      <c r="D273" s="19" t="s">
        <v>938</v>
      </c>
      <c r="E273" s="274" t="s">
        <v>2079</v>
      </c>
      <c r="F273" s="74" t="s">
        <v>2077</v>
      </c>
      <c r="H273" s="20">
        <v>22800000</v>
      </c>
      <c r="I273" s="20">
        <f>I272+Table14[[#This Row],[مبلغ ورود]]-Table14[[#This Row],[مبلغ خروج]]</f>
        <v>24841156530</v>
      </c>
      <c r="J273" s="216"/>
    </row>
    <row r="274" spans="1:10" ht="37.5">
      <c r="A274" s="1">
        <v>263</v>
      </c>
      <c r="B274" s="261" t="s">
        <v>2078</v>
      </c>
      <c r="C274" s="1">
        <v>787159</v>
      </c>
      <c r="D274" s="19" t="s">
        <v>938</v>
      </c>
      <c r="E274" s="274" t="s">
        <v>2080</v>
      </c>
      <c r="F274" s="74" t="s">
        <v>2049</v>
      </c>
      <c r="H274" s="220">
        <v>20000000000</v>
      </c>
      <c r="I274" s="20">
        <f>I273+Table14[[#This Row],[مبلغ ورود]]-Table14[[#This Row],[مبلغ خروج]]</f>
        <v>4841156530</v>
      </c>
      <c r="J274" s="216"/>
    </row>
    <row r="275" spans="1:10" ht="21">
      <c r="A275" s="1">
        <v>264</v>
      </c>
      <c r="B275" s="261" t="s">
        <v>2081</v>
      </c>
      <c r="C275" s="1"/>
      <c r="E275" s="274"/>
      <c r="F275" s="74" t="s">
        <v>1756</v>
      </c>
      <c r="H275" s="298">
        <v>69854</v>
      </c>
      <c r="I275" s="20">
        <f>I274+Table14[[#This Row],[مبلغ ورود]]-Table14[[#This Row],[مبلغ خروج]]</f>
        <v>4841086676</v>
      </c>
      <c r="J275" s="216"/>
    </row>
    <row r="276" spans="1:10" ht="37.5">
      <c r="A276" s="1">
        <v>265</v>
      </c>
      <c r="B276" s="261" t="s">
        <v>2082</v>
      </c>
      <c r="C276" s="1">
        <v>787160</v>
      </c>
      <c r="D276" s="19" t="s">
        <v>938</v>
      </c>
      <c r="E276" s="274" t="s">
        <v>2083</v>
      </c>
      <c r="F276" s="197" t="s">
        <v>2084</v>
      </c>
      <c r="H276" s="20">
        <v>185055229</v>
      </c>
      <c r="I276" s="20">
        <f>I275+Table14[[#This Row],[مبلغ ورود]]-Table14[[#This Row],[مبلغ خروج]]</f>
        <v>4656031447</v>
      </c>
      <c r="J276" s="216"/>
    </row>
    <row r="277" spans="1:10" ht="37.5">
      <c r="A277" s="1">
        <v>266</v>
      </c>
      <c r="B277" s="261" t="s">
        <v>2082</v>
      </c>
      <c r="C277" s="1">
        <v>787161</v>
      </c>
      <c r="D277" s="19" t="s">
        <v>938</v>
      </c>
      <c r="E277" s="274" t="s">
        <v>2086</v>
      </c>
      <c r="F277" s="197" t="s">
        <v>2085</v>
      </c>
      <c r="H277" s="20">
        <v>500000000</v>
      </c>
      <c r="I277" s="20">
        <f>I276+Table14[[#This Row],[مبلغ ورود]]-Table14[[#This Row],[مبلغ خروج]]</f>
        <v>4156031447</v>
      </c>
      <c r="J277" s="216"/>
    </row>
    <row r="278" spans="1:10" ht="21">
      <c r="A278" s="1">
        <v>267</v>
      </c>
      <c r="B278" s="261" t="s">
        <v>2082</v>
      </c>
      <c r="C278" s="1"/>
      <c r="D278" s="19" t="s">
        <v>938</v>
      </c>
      <c r="E278" s="274"/>
      <c r="F278" s="197" t="s">
        <v>1756</v>
      </c>
      <c r="H278" s="20">
        <v>250000</v>
      </c>
      <c r="I278" s="20">
        <f>I277+Table14[[#This Row],[مبلغ ورود]]-Table14[[#This Row],[مبلغ خروج]]</f>
        <v>4155781447</v>
      </c>
      <c r="J278" s="216"/>
    </row>
    <row r="279" spans="1:10" ht="21">
      <c r="A279" s="1">
        <v>268</v>
      </c>
      <c r="B279" s="261" t="s">
        <v>2087</v>
      </c>
      <c r="C279" s="1"/>
      <c r="D279" s="19" t="s">
        <v>938</v>
      </c>
      <c r="E279" s="274"/>
      <c r="F279" s="197" t="s">
        <v>1756</v>
      </c>
      <c r="H279" s="20">
        <v>2280</v>
      </c>
      <c r="I279" s="20">
        <f>I278+Table14[[#This Row],[مبلغ ورود]]-Table14[[#This Row],[مبلغ خروج]]</f>
        <v>4155779167</v>
      </c>
      <c r="J279" s="216"/>
    </row>
    <row r="280" spans="1:10" ht="21">
      <c r="A280" s="1">
        <v>269</v>
      </c>
      <c r="B280" s="261" t="s">
        <v>2088</v>
      </c>
      <c r="C280" s="299"/>
      <c r="D280" s="19" t="s">
        <v>938</v>
      </c>
      <c r="E280" s="274"/>
      <c r="F280" s="74" t="s">
        <v>2061</v>
      </c>
      <c r="G280" s="20">
        <v>160000000000</v>
      </c>
      <c r="I280" s="20">
        <f>I279+Table14[[#This Row],[مبلغ ورود]]-Table14[[#This Row],[مبلغ خروج]]</f>
        <v>164155779167</v>
      </c>
      <c r="J280" s="216"/>
    </row>
    <row r="281" spans="1:10" ht="37.5">
      <c r="A281" s="1">
        <v>270</v>
      </c>
      <c r="B281" s="261" t="s">
        <v>2088</v>
      </c>
      <c r="C281" s="1">
        <v>787162</v>
      </c>
      <c r="D281" s="19" t="s">
        <v>938</v>
      </c>
      <c r="E281" s="274" t="s">
        <v>2089</v>
      </c>
      <c r="F281" s="197" t="s">
        <v>2090</v>
      </c>
      <c r="G281" s="301"/>
      <c r="H281" s="20">
        <v>10653080000</v>
      </c>
      <c r="I281" s="20">
        <f>I280+Table14[[#This Row],[مبلغ ورود]]-Table14[[#This Row],[مبلغ خروج]]</f>
        <v>153502699167</v>
      </c>
      <c r="J281" s="216"/>
    </row>
    <row r="282" spans="1:10" ht="37.5">
      <c r="A282" s="1">
        <v>271</v>
      </c>
      <c r="B282" s="261" t="s">
        <v>2088</v>
      </c>
      <c r="C282" s="1">
        <v>787163</v>
      </c>
      <c r="D282" s="19" t="s">
        <v>938</v>
      </c>
      <c r="E282" s="274" t="s">
        <v>2091</v>
      </c>
      <c r="F282" s="74" t="s">
        <v>2068</v>
      </c>
      <c r="G282" s="301"/>
      <c r="H282" s="20">
        <v>50000000000</v>
      </c>
      <c r="I282" s="20">
        <f>I281+Table14[[#This Row],[مبلغ ورود]]-Table14[[#This Row],[مبلغ خروج]]</f>
        <v>103502699167</v>
      </c>
      <c r="J282" s="216"/>
    </row>
    <row r="283" spans="1:10" ht="37.5">
      <c r="A283" s="1">
        <v>272</v>
      </c>
      <c r="B283" s="261" t="s">
        <v>2093</v>
      </c>
      <c r="C283" s="1">
        <v>787164</v>
      </c>
      <c r="D283" s="19" t="s">
        <v>938</v>
      </c>
      <c r="E283" s="274" t="s">
        <v>2092</v>
      </c>
      <c r="F283" s="197" t="s">
        <v>2094</v>
      </c>
      <c r="G283" s="301"/>
      <c r="H283" s="220">
        <v>33560000</v>
      </c>
      <c r="I283" s="20">
        <f>I282+Table14[[#This Row],[مبلغ ورود]]-Table14[[#This Row],[مبلغ خروج]]</f>
        <v>103469139167</v>
      </c>
      <c r="J283" s="216"/>
    </row>
    <row r="284" spans="1:10" ht="56.25">
      <c r="A284" s="1">
        <v>273</v>
      </c>
      <c r="B284" s="261" t="s">
        <v>2093</v>
      </c>
      <c r="C284" s="1">
        <v>787165</v>
      </c>
      <c r="D284" s="19" t="s">
        <v>938</v>
      </c>
      <c r="E284" s="274" t="s">
        <v>2096</v>
      </c>
      <c r="F284" s="74" t="s">
        <v>2095</v>
      </c>
      <c r="G284" s="301"/>
      <c r="H284" s="20">
        <v>155357950</v>
      </c>
      <c r="I284" s="20">
        <f>I283+Table14[[#This Row],[مبلغ ورود]]-Table14[[#This Row],[مبلغ خروج]]</f>
        <v>103313781217</v>
      </c>
      <c r="J284" s="216"/>
    </row>
    <row r="285" spans="1:10" ht="21">
      <c r="A285" s="1">
        <v>274</v>
      </c>
      <c r="B285" s="261" t="s">
        <v>2055</v>
      </c>
      <c r="C285" s="299"/>
      <c r="D285" s="300"/>
      <c r="E285" s="274"/>
      <c r="F285" s="197" t="s">
        <v>1756</v>
      </c>
      <c r="G285" s="301"/>
      <c r="H285" s="20">
        <f>250000+74885</f>
        <v>324885</v>
      </c>
      <c r="I285" s="20">
        <f>I284+Table14[[#This Row],[مبلغ ورود]]-Table14[[#This Row],[مبلغ خروج]]</f>
        <v>103313456332</v>
      </c>
      <c r="J285" s="216"/>
    </row>
    <row r="286" spans="1:10" ht="21">
      <c r="A286" s="1">
        <v>275</v>
      </c>
      <c r="B286" s="261" t="s">
        <v>2103</v>
      </c>
      <c r="C286" s="299">
        <v>787166</v>
      </c>
      <c r="D286" s="300" t="s">
        <v>938</v>
      </c>
      <c r="E286" s="274" t="s">
        <v>2100</v>
      </c>
      <c r="F286" s="74" t="s">
        <v>2097</v>
      </c>
      <c r="G286" s="297"/>
      <c r="H286" s="20">
        <v>756600010</v>
      </c>
      <c r="I286" s="20">
        <f>I285+Table14[[#This Row],[مبلغ ورود]]-Table14[[#This Row],[مبلغ خروج]]</f>
        <v>102556856322</v>
      </c>
      <c r="J286" s="216"/>
    </row>
    <row r="287" spans="1:10" ht="21">
      <c r="A287" s="1">
        <v>276</v>
      </c>
      <c r="B287" s="261" t="s">
        <v>2103</v>
      </c>
      <c r="C287" s="299">
        <v>787167</v>
      </c>
      <c r="D287" s="300" t="s">
        <v>938</v>
      </c>
      <c r="E287" s="274" t="s">
        <v>2101</v>
      </c>
      <c r="F287" s="74" t="s">
        <v>2098</v>
      </c>
      <c r="G287" s="297"/>
      <c r="H287" s="20">
        <v>470449445</v>
      </c>
      <c r="I287" s="20">
        <f>I286+Table14[[#This Row],[مبلغ ورود]]-Table14[[#This Row],[مبلغ خروج]]</f>
        <v>102086406877</v>
      </c>
      <c r="J287" s="216"/>
    </row>
    <row r="288" spans="1:10" ht="37.5">
      <c r="A288" s="1">
        <v>277</v>
      </c>
      <c r="B288" s="261" t="s">
        <v>2103</v>
      </c>
      <c r="C288" s="299">
        <v>787168</v>
      </c>
      <c r="D288" s="300" t="s">
        <v>938</v>
      </c>
      <c r="E288" s="274" t="s">
        <v>2102</v>
      </c>
      <c r="F288" s="74" t="s">
        <v>2099</v>
      </c>
      <c r="G288" s="297"/>
      <c r="H288" s="20">
        <v>4000000000</v>
      </c>
      <c r="I288" s="20">
        <f>I287+Table14[[#This Row],[مبلغ ورود]]-Table14[[#This Row],[مبلغ خروج]]</f>
        <v>98086406877</v>
      </c>
      <c r="J288" s="216"/>
    </row>
    <row r="289" spans="1:10" ht="37.5">
      <c r="A289" s="1">
        <v>278</v>
      </c>
      <c r="B289" s="261" t="s">
        <v>2103</v>
      </c>
      <c r="C289" s="299">
        <v>787169</v>
      </c>
      <c r="D289" s="300" t="s">
        <v>938</v>
      </c>
      <c r="E289" s="274" t="s">
        <v>2104</v>
      </c>
      <c r="F289" s="74" t="s">
        <v>1838</v>
      </c>
      <c r="G289" s="301"/>
      <c r="H289" s="20">
        <v>10000000000</v>
      </c>
      <c r="I289" s="20">
        <f>I288+Table14[[#This Row],[مبلغ ورود]]-Table14[[#This Row],[مبلغ خروج]]</f>
        <v>88086406877</v>
      </c>
      <c r="J289" s="216"/>
    </row>
    <row r="290" spans="1:10" ht="37.5">
      <c r="A290" s="1">
        <v>279</v>
      </c>
      <c r="B290" s="261" t="s">
        <v>2107</v>
      </c>
      <c r="C290" s="299">
        <v>787170</v>
      </c>
      <c r="D290" s="300" t="s">
        <v>938</v>
      </c>
      <c r="E290" s="274" t="s">
        <v>2108</v>
      </c>
      <c r="F290" s="74" t="s">
        <v>2106</v>
      </c>
      <c r="G290" s="304"/>
      <c r="H290" s="20">
        <v>4152500000</v>
      </c>
      <c r="I290" s="20">
        <f>I289+Table14[[#This Row],[مبلغ ورود]]-Table14[[#This Row],[مبلغ خروج]]</f>
        <v>83933906877</v>
      </c>
      <c r="J290" s="216"/>
    </row>
    <row r="291" spans="1:10" ht="21">
      <c r="A291" s="1">
        <v>280</v>
      </c>
      <c r="B291" s="261"/>
      <c r="C291" s="299">
        <v>787171</v>
      </c>
      <c r="D291" s="300" t="s">
        <v>938</v>
      </c>
      <c r="F291" s="74" t="s">
        <v>1604</v>
      </c>
      <c r="H291" s="20">
        <v>0</v>
      </c>
      <c r="I291" s="20">
        <f>I290+Table14[[#This Row],[مبلغ ورود]]-Table14[[#This Row],[مبلغ خروج]]</f>
        <v>83933906877</v>
      </c>
      <c r="J291" s="216"/>
    </row>
    <row r="292" spans="1:10" ht="37.5">
      <c r="A292" s="1">
        <v>281</v>
      </c>
      <c r="B292" s="261" t="s">
        <v>2110</v>
      </c>
      <c r="C292" s="1">
        <v>787172</v>
      </c>
      <c r="D292" s="19" t="s">
        <v>938</v>
      </c>
      <c r="E292" s="274" t="s">
        <v>2111</v>
      </c>
      <c r="F292" s="197" t="s">
        <v>2109</v>
      </c>
      <c r="H292" s="20">
        <v>3500000000</v>
      </c>
      <c r="I292" s="20">
        <f>I291+Table14[[#This Row],[مبلغ ورود]]-Table14[[#This Row],[مبلغ خروج]]</f>
        <v>80433906877</v>
      </c>
      <c r="J292" s="216"/>
    </row>
    <row r="293" spans="1:10" ht="21">
      <c r="A293" s="1">
        <v>282</v>
      </c>
      <c r="B293" s="261" t="s">
        <v>2103</v>
      </c>
      <c r="C293" s="1"/>
      <c r="D293" s="300" t="s">
        <v>938</v>
      </c>
      <c r="E293" s="274"/>
      <c r="F293" s="74" t="s">
        <v>2112</v>
      </c>
      <c r="G293" s="73">
        <v>11999118</v>
      </c>
      <c r="I293" s="20">
        <f>I292+Table14[[#This Row],[مبلغ ورود]]-Table14[[#This Row],[مبلغ خروج]]</f>
        <v>80445905995</v>
      </c>
      <c r="J293" s="216"/>
    </row>
    <row r="294" spans="1:10" ht="21">
      <c r="A294" s="1">
        <v>283</v>
      </c>
      <c r="B294" s="261" t="s">
        <v>2107</v>
      </c>
      <c r="C294" s="1"/>
      <c r="D294" s="300" t="s">
        <v>938</v>
      </c>
      <c r="E294" s="274"/>
      <c r="F294" s="74" t="s">
        <v>2113</v>
      </c>
      <c r="H294" s="20">
        <f>30000+78000</f>
        <v>108000</v>
      </c>
      <c r="I294" s="20">
        <f>I293+Table14[[#This Row],[مبلغ ورود]]-Table14[[#This Row],[مبلغ خروج]]</f>
        <v>80445797995</v>
      </c>
      <c r="J294" s="216"/>
    </row>
    <row r="295" spans="1:10" ht="21">
      <c r="A295" s="1">
        <v>284</v>
      </c>
      <c r="B295" s="261" t="s">
        <v>2114</v>
      </c>
      <c r="C295" s="1"/>
      <c r="D295" s="300" t="s">
        <v>938</v>
      </c>
      <c r="E295" s="274"/>
      <c r="F295" s="74" t="s">
        <v>1756</v>
      </c>
      <c r="H295" s="20">
        <v>250000</v>
      </c>
      <c r="I295" s="20">
        <f>I294+Table14[[#This Row],[مبلغ ورود]]-Table14[[#This Row],[مبلغ خروج]]</f>
        <v>80445547995</v>
      </c>
      <c r="J295" s="216"/>
    </row>
    <row r="296" spans="1:10" ht="21">
      <c r="A296" s="1">
        <v>285</v>
      </c>
      <c r="B296" s="261" t="s">
        <v>2116</v>
      </c>
      <c r="C296" s="1"/>
      <c r="D296" s="300" t="s">
        <v>938</v>
      </c>
      <c r="E296" s="274"/>
      <c r="F296" s="74" t="s">
        <v>2115</v>
      </c>
      <c r="G296" s="73">
        <v>1242388368</v>
      </c>
      <c r="I296" s="20">
        <f>I295+Table14[[#This Row],[مبلغ ورود]]-Table14[[#This Row],[مبلغ خروج]]</f>
        <v>81687936363</v>
      </c>
      <c r="J296" s="216"/>
    </row>
    <row r="297" spans="1:10" ht="37.5">
      <c r="A297" s="1">
        <v>286</v>
      </c>
      <c r="B297" s="261" t="s">
        <v>2117</v>
      </c>
      <c r="C297" s="302">
        <v>787173</v>
      </c>
      <c r="D297" s="300" t="s">
        <v>938</v>
      </c>
      <c r="E297" s="274" t="s">
        <v>2118</v>
      </c>
      <c r="F297" s="197" t="s">
        <v>2119</v>
      </c>
      <c r="G297" s="304"/>
      <c r="H297" s="20">
        <v>200000000</v>
      </c>
      <c r="I297" s="20">
        <f>I296+Table14[[#This Row],[مبلغ ورود]]-Table14[[#This Row],[مبلغ خروج]]</f>
        <v>81487936363</v>
      </c>
      <c r="J297" s="216"/>
    </row>
    <row r="298" spans="1:10" ht="37.5">
      <c r="A298" s="1">
        <v>287</v>
      </c>
      <c r="B298" s="261" t="s">
        <v>2117</v>
      </c>
      <c r="C298" s="302">
        <v>787174</v>
      </c>
      <c r="D298" s="300" t="s">
        <v>938</v>
      </c>
      <c r="E298" s="274" t="s">
        <v>2120</v>
      </c>
      <c r="F298" s="74" t="s">
        <v>2122</v>
      </c>
      <c r="G298" s="304"/>
      <c r="H298" s="20">
        <v>14235000000</v>
      </c>
      <c r="I298" s="20">
        <f>I297+Table14[[#This Row],[مبلغ ورود]]-Table14[[#This Row],[مبلغ خروج]]</f>
        <v>67252936363</v>
      </c>
      <c r="J298" s="216"/>
    </row>
    <row r="299" spans="1:10" ht="37.5">
      <c r="A299" s="1">
        <v>288</v>
      </c>
      <c r="B299" s="261" t="s">
        <v>2117</v>
      </c>
      <c r="C299" s="302">
        <v>787175</v>
      </c>
      <c r="D299" s="300" t="s">
        <v>938</v>
      </c>
      <c r="E299" s="274" t="s">
        <v>2121</v>
      </c>
      <c r="F299" s="74" t="s">
        <v>2123</v>
      </c>
      <c r="G299" s="304"/>
      <c r="H299" s="20">
        <v>15594000000</v>
      </c>
      <c r="I299" s="20">
        <f>I298+Table14[[#This Row],[مبلغ ورود]]-Table14[[#This Row],[مبلغ خروج]]</f>
        <v>51658936363</v>
      </c>
      <c r="J299" s="216"/>
    </row>
    <row r="300" spans="1:10" ht="37.5">
      <c r="A300" s="302">
        <v>289</v>
      </c>
      <c r="B300" s="261" t="s">
        <v>2124</v>
      </c>
      <c r="C300" s="302">
        <v>787176</v>
      </c>
      <c r="D300" s="300" t="s">
        <v>938</v>
      </c>
      <c r="E300" s="274" t="s">
        <v>2125</v>
      </c>
      <c r="F300" s="74" t="s">
        <v>2068</v>
      </c>
      <c r="G300" s="304"/>
      <c r="H300" s="20">
        <v>10000000000</v>
      </c>
      <c r="I300" s="20">
        <f>I299+Table14[[#This Row],[مبلغ ورود]]-Table14[[#This Row],[مبلغ خروج]]</f>
        <v>41658936363</v>
      </c>
      <c r="J300" s="216"/>
    </row>
    <row r="301" spans="1:10" ht="37.5">
      <c r="A301" s="302">
        <v>290</v>
      </c>
      <c r="B301" s="261" t="s">
        <v>2126</v>
      </c>
      <c r="C301" s="302">
        <v>787177</v>
      </c>
      <c r="D301" s="300" t="s">
        <v>938</v>
      </c>
      <c r="E301" s="274" t="s">
        <v>2127</v>
      </c>
      <c r="F301" s="74" t="s">
        <v>2068</v>
      </c>
      <c r="G301" s="304"/>
      <c r="H301" s="20">
        <v>15000000000</v>
      </c>
      <c r="I301" s="20">
        <f>I300+Table14[[#This Row],[مبلغ ورود]]-Table14[[#This Row],[مبلغ خروج]]</f>
        <v>26658936363</v>
      </c>
      <c r="J301" s="216"/>
    </row>
    <row r="302" spans="1:10" ht="21">
      <c r="A302" s="302">
        <v>291</v>
      </c>
      <c r="B302" s="261" t="s">
        <v>2126</v>
      </c>
      <c r="C302" s="1"/>
      <c r="D302" s="300" t="s">
        <v>938</v>
      </c>
      <c r="E302" s="274"/>
      <c r="F302" s="74" t="s">
        <v>2061</v>
      </c>
      <c r="G302" s="73">
        <v>200000000000</v>
      </c>
      <c r="I302" s="20">
        <f>I301+Table14[[#This Row],[مبلغ ورود]]-Table14[[#This Row],[مبلغ خروج]]</f>
        <v>226658936363</v>
      </c>
      <c r="J302" s="216"/>
    </row>
    <row r="303" spans="1:10" ht="37.5">
      <c r="A303" s="302">
        <v>292</v>
      </c>
      <c r="B303" s="303" t="s">
        <v>2126</v>
      </c>
      <c r="C303" s="302">
        <v>787178</v>
      </c>
      <c r="D303" s="300" t="s">
        <v>938</v>
      </c>
      <c r="E303" s="274" t="s">
        <v>2129</v>
      </c>
      <c r="F303" s="74" t="s">
        <v>2128</v>
      </c>
      <c r="G303" s="304"/>
      <c r="H303" s="20">
        <v>253336576000</v>
      </c>
      <c r="I303" s="20">
        <f>I302+Table14[[#This Row],[مبلغ ورود]]-Table14[[#This Row],[مبلغ خروج]]</f>
        <v>-26677639637</v>
      </c>
      <c r="J303" s="216"/>
    </row>
    <row r="304" spans="1:10" ht="21">
      <c r="A304" s="302">
        <v>293</v>
      </c>
      <c r="B304" s="303" t="s">
        <v>2126</v>
      </c>
      <c r="C304" s="1"/>
      <c r="D304" s="300" t="s">
        <v>938</v>
      </c>
      <c r="E304" s="274"/>
      <c r="F304" s="74" t="s">
        <v>1756</v>
      </c>
      <c r="H304" s="20">
        <f>250000</f>
        <v>250000</v>
      </c>
      <c r="I304" s="20">
        <f>I303+Table14[[#This Row],[مبلغ ورود]]-Table14[[#This Row],[مبلغ خروج]]</f>
        <v>-26677889637</v>
      </c>
      <c r="J304" s="216"/>
    </row>
    <row r="305" spans="1:10" ht="21">
      <c r="A305" s="302">
        <v>294</v>
      </c>
      <c r="B305" s="261" t="s">
        <v>2130</v>
      </c>
      <c r="C305" s="302"/>
      <c r="D305" s="300" t="s">
        <v>938</v>
      </c>
      <c r="E305" s="274"/>
      <c r="F305" s="74" t="s">
        <v>1778</v>
      </c>
      <c r="G305" s="304">
        <v>60000000000</v>
      </c>
      <c r="I305" s="20">
        <f>I304+Table14[[#This Row],[مبلغ ورود]]-Table14[[#This Row],[مبلغ خروج]]</f>
        <v>33322110363</v>
      </c>
      <c r="J305" s="216"/>
    </row>
    <row r="306" spans="1:10" ht="21">
      <c r="A306" s="302">
        <v>295</v>
      </c>
      <c r="B306" s="261" t="s">
        <v>2130</v>
      </c>
      <c r="C306" s="1"/>
      <c r="D306" s="300" t="s">
        <v>938</v>
      </c>
      <c r="E306" s="274"/>
      <c r="F306" s="74" t="s">
        <v>1756</v>
      </c>
      <c r="H306" s="20">
        <f>250000+250000</f>
        <v>500000</v>
      </c>
      <c r="I306" s="20">
        <f>I305+Table14[[#This Row],[مبلغ ورود]]-Table14[[#This Row],[مبلغ خروج]]</f>
        <v>33321610363</v>
      </c>
      <c r="J306" s="216"/>
    </row>
    <row r="307" spans="1:10" ht="37.5">
      <c r="A307" s="302">
        <v>296</v>
      </c>
      <c r="B307" s="261" t="s">
        <v>2131</v>
      </c>
      <c r="C307" s="1">
        <v>787179</v>
      </c>
      <c r="D307" s="300" t="s">
        <v>938</v>
      </c>
      <c r="E307" s="274" t="s">
        <v>2132</v>
      </c>
      <c r="F307" s="74" t="s">
        <v>2133</v>
      </c>
      <c r="H307" s="20">
        <v>150000000</v>
      </c>
      <c r="I307" s="20">
        <f>I306+Table14[[#This Row],[مبلغ ورود]]-Table14[[#This Row],[مبلغ خروج]]</f>
        <v>33171610363</v>
      </c>
      <c r="J307" s="216"/>
    </row>
    <row r="308" spans="1:10" ht="37.5">
      <c r="A308" s="1">
        <v>297</v>
      </c>
      <c r="B308" s="261" t="s">
        <v>2134</v>
      </c>
      <c r="C308" s="1" t="s">
        <v>1916</v>
      </c>
      <c r="D308" s="300" t="s">
        <v>938</v>
      </c>
      <c r="E308" s="274"/>
      <c r="F308" s="74" t="s">
        <v>2068</v>
      </c>
      <c r="H308" s="20">
        <v>10000000000</v>
      </c>
      <c r="I308" s="20">
        <f>I307+Table14[[#This Row],[مبلغ ورود]]-Table14[[#This Row],[مبلغ خروج]]</f>
        <v>23171610363</v>
      </c>
      <c r="J308" s="216"/>
    </row>
    <row r="309" spans="1:10" ht="37.5">
      <c r="A309" s="1">
        <v>298</v>
      </c>
      <c r="B309" s="261" t="s">
        <v>2136</v>
      </c>
      <c r="C309" s="1">
        <v>787180</v>
      </c>
      <c r="D309" s="300" t="s">
        <v>938</v>
      </c>
      <c r="E309" s="274" t="s">
        <v>2137</v>
      </c>
      <c r="F309" s="74" t="s">
        <v>2135</v>
      </c>
      <c r="H309" s="20">
        <v>1164635000</v>
      </c>
      <c r="I309" s="20">
        <f>I308+Table14[[#This Row],[مبلغ ورود]]-Table14[[#This Row],[مبلغ خروج]]</f>
        <v>22006975363</v>
      </c>
      <c r="J309" s="216"/>
    </row>
    <row r="310" spans="1:10" ht="37.5">
      <c r="A310" s="1">
        <v>299</v>
      </c>
      <c r="B310" s="261" t="s">
        <v>2136</v>
      </c>
      <c r="C310" s="1">
        <v>787181</v>
      </c>
      <c r="D310" s="300" t="s">
        <v>938</v>
      </c>
      <c r="E310" s="274" t="s">
        <v>2139</v>
      </c>
      <c r="F310" s="197" t="s">
        <v>2138</v>
      </c>
      <c r="H310" s="20">
        <v>1970624564</v>
      </c>
      <c r="I310" s="20">
        <f>I309+Table14[[#This Row],[مبلغ ورود]]-Table14[[#This Row],[مبلغ خروج]]</f>
        <v>20036350799</v>
      </c>
      <c r="J310" s="216"/>
    </row>
    <row r="311" spans="1:10" ht="37.5">
      <c r="A311" s="1">
        <v>300</v>
      </c>
      <c r="B311" s="261" t="s">
        <v>2140</v>
      </c>
      <c r="C311" s="1">
        <v>787182</v>
      </c>
      <c r="D311" s="300" t="s">
        <v>938</v>
      </c>
      <c r="E311" s="274" t="s">
        <v>2142</v>
      </c>
      <c r="F311" s="197" t="s">
        <v>2141</v>
      </c>
      <c r="H311" s="20">
        <v>5399000000</v>
      </c>
      <c r="I311" s="20">
        <f>I310+Table14[[#This Row],[مبلغ ورود]]-Table14[[#This Row],[مبلغ خروج]]</f>
        <v>14637350799</v>
      </c>
      <c r="J311" s="216"/>
    </row>
    <row r="312" spans="1:10" ht="37.5">
      <c r="A312" s="1">
        <v>301</v>
      </c>
      <c r="B312" s="261" t="s">
        <v>2140</v>
      </c>
      <c r="C312" s="1">
        <v>787183</v>
      </c>
      <c r="D312" s="300" t="s">
        <v>938</v>
      </c>
      <c r="E312" s="274" t="s">
        <v>2144</v>
      </c>
      <c r="F312" s="74" t="s">
        <v>2143</v>
      </c>
      <c r="H312" s="20">
        <v>2641157200</v>
      </c>
      <c r="I312" s="20">
        <f>I311+Table14[[#This Row],[مبلغ ورود]]-Table14[[#This Row],[مبلغ خروج]]</f>
        <v>11996193599</v>
      </c>
      <c r="J312" s="216"/>
    </row>
    <row r="313" spans="1:10" ht="37.5">
      <c r="A313" s="302">
        <v>302</v>
      </c>
      <c r="B313" s="261" t="s">
        <v>2145</v>
      </c>
      <c r="C313" s="302">
        <v>787184</v>
      </c>
      <c r="D313" s="300" t="s">
        <v>938</v>
      </c>
      <c r="E313" s="274" t="s">
        <v>2146</v>
      </c>
      <c r="F313" s="74" t="s">
        <v>2147</v>
      </c>
      <c r="G313" s="304"/>
      <c r="H313" s="20">
        <v>8652500000</v>
      </c>
      <c r="I313" s="20">
        <f>I312+Table14[[#This Row],[مبلغ ورود]]-Table14[[#This Row],[مبلغ خروج]]</f>
        <v>3343693599</v>
      </c>
      <c r="J313" s="216"/>
    </row>
    <row r="314" spans="1:10" ht="21">
      <c r="A314" s="305">
        <v>303</v>
      </c>
      <c r="B314" s="261" t="s">
        <v>2148</v>
      </c>
      <c r="C314" s="305"/>
      <c r="D314" s="300" t="s">
        <v>938</v>
      </c>
      <c r="E314" s="274"/>
      <c r="F314" s="74" t="s">
        <v>1756</v>
      </c>
      <c r="G314" s="308"/>
      <c r="H314" s="20">
        <f>250000+232927</f>
        <v>482927</v>
      </c>
      <c r="I314" s="20">
        <f>I313+Table14[[#This Row],[مبلغ ورود]]-Table14[[#This Row],[مبلغ خروج]]</f>
        <v>3343210672</v>
      </c>
      <c r="J314" s="216"/>
    </row>
    <row r="315" spans="1:10" ht="21">
      <c r="A315" s="309">
        <v>304</v>
      </c>
      <c r="B315" s="306"/>
      <c r="C315" s="305"/>
      <c r="D315" s="300" t="s">
        <v>938</v>
      </c>
      <c r="E315" s="274"/>
      <c r="F315" s="74" t="s">
        <v>1756</v>
      </c>
      <c r="G315" s="308"/>
      <c r="H315" s="20">
        <v>250000</v>
      </c>
      <c r="I315" s="20">
        <f>I314+Table14[[#This Row],[مبلغ ورود]]-Table14[[#This Row],[مبلغ خروج]]</f>
        <v>3342960672</v>
      </c>
      <c r="J315" s="216"/>
    </row>
    <row r="316" spans="1:10" ht="21">
      <c r="A316" s="302">
        <v>305</v>
      </c>
      <c r="B316" s="261" t="s">
        <v>2149</v>
      </c>
      <c r="C316" s="310"/>
      <c r="D316" s="300" t="s">
        <v>938</v>
      </c>
      <c r="E316" s="274"/>
      <c r="F316" s="74" t="s">
        <v>2154</v>
      </c>
      <c r="G316" s="20">
        <v>10000000000</v>
      </c>
      <c r="I316" s="20">
        <f>I315+Table14[[#This Row],[مبلغ ورود]]-Table14[[#This Row],[مبلغ خروج]]</f>
        <v>13342960672</v>
      </c>
      <c r="J316" s="216"/>
    </row>
    <row r="317" spans="1:10" ht="21">
      <c r="A317" s="305">
        <v>306</v>
      </c>
      <c r="B317" s="261" t="s">
        <v>2149</v>
      </c>
      <c r="C317" s="305">
        <v>787185</v>
      </c>
      <c r="D317" s="307" t="s">
        <v>938</v>
      </c>
      <c r="E317" s="274" t="s">
        <v>2150</v>
      </c>
      <c r="F317" s="74" t="s">
        <v>2151</v>
      </c>
      <c r="G317" s="308"/>
      <c r="H317" s="20">
        <v>10000000000</v>
      </c>
      <c r="I317" s="20">
        <f>I316+Table14[[#This Row],[مبلغ ورود]]-Table14[[#This Row],[مبلغ خروج]]</f>
        <v>3342960672</v>
      </c>
      <c r="J317" s="216"/>
    </row>
    <row r="318" spans="1:10" ht="21">
      <c r="A318" s="302">
        <v>307</v>
      </c>
      <c r="B318" s="302" t="s">
        <v>2153</v>
      </c>
      <c r="C318" s="305"/>
      <c r="D318" s="307" t="s">
        <v>938</v>
      </c>
      <c r="E318" s="274"/>
      <c r="F318" s="74" t="s">
        <v>2152</v>
      </c>
      <c r="G318" s="20">
        <v>36470372</v>
      </c>
      <c r="I318" s="20">
        <f>I317+Table14[[#This Row],[مبلغ ورود]]-Table14[[#This Row],[مبلغ خروج]]</f>
        <v>3379431044</v>
      </c>
      <c r="J318" s="216"/>
    </row>
    <row r="319" spans="1:10" ht="21">
      <c r="A319" s="302">
        <v>308</v>
      </c>
      <c r="B319" s="261" t="s">
        <v>2167</v>
      </c>
      <c r="C319" s="1"/>
      <c r="D319" s="307" t="s">
        <v>938</v>
      </c>
      <c r="E319" s="274"/>
      <c r="F319" s="74" t="s">
        <v>2168</v>
      </c>
      <c r="G319" s="73">
        <v>4106546</v>
      </c>
      <c r="I319" s="20">
        <f>I318+Table14[[#This Row],[مبلغ ورود]]-Table14[[#This Row],[مبلغ خروج]]</f>
        <v>3383537590</v>
      </c>
      <c r="J319" s="216"/>
    </row>
    <row r="320" spans="1:10" ht="21">
      <c r="A320" s="302">
        <v>309</v>
      </c>
      <c r="B320" s="1" t="s">
        <v>2156</v>
      </c>
      <c r="C320" s="305">
        <v>787186</v>
      </c>
      <c r="D320" s="307" t="s">
        <v>938</v>
      </c>
      <c r="E320" s="274" t="s">
        <v>2157</v>
      </c>
      <c r="F320" s="265" t="s">
        <v>2155</v>
      </c>
      <c r="G320" s="311"/>
      <c r="H320" s="20">
        <v>540969154</v>
      </c>
      <c r="I320" s="20">
        <f>I319+Table14[[#This Row],[مبلغ ورود]]-Table14[[#This Row],[مبلغ خروج]]</f>
        <v>2842568436</v>
      </c>
      <c r="J320" s="216"/>
    </row>
    <row r="321" spans="1:10" ht="21">
      <c r="A321" s="302">
        <v>310</v>
      </c>
      <c r="B321" s="1" t="s">
        <v>2156</v>
      </c>
      <c r="C321" s="305">
        <v>787187</v>
      </c>
      <c r="D321" s="307" t="s">
        <v>938</v>
      </c>
      <c r="E321" s="274" t="s">
        <v>2158</v>
      </c>
      <c r="F321" s="74" t="s">
        <v>2161</v>
      </c>
      <c r="G321" s="311"/>
      <c r="H321" s="20">
        <v>536440468</v>
      </c>
      <c r="I321" s="20">
        <f>I320+Table14[[#This Row],[مبلغ ورود]]-Table14[[#This Row],[مبلغ خروج]]</f>
        <v>2306127968</v>
      </c>
      <c r="J321" s="216"/>
    </row>
    <row r="322" spans="1:10" ht="37.5">
      <c r="A322" s="302">
        <v>311</v>
      </c>
      <c r="B322" s="1" t="s">
        <v>2156</v>
      </c>
      <c r="C322" s="305">
        <v>787188</v>
      </c>
      <c r="D322" s="307" t="s">
        <v>938</v>
      </c>
      <c r="E322" s="274" t="s">
        <v>2159</v>
      </c>
      <c r="F322" s="74" t="s">
        <v>2162</v>
      </c>
      <c r="G322" s="311"/>
      <c r="H322" s="20">
        <v>5000000000</v>
      </c>
      <c r="I322" s="20">
        <f>I321+Table14[[#This Row],[مبلغ ورود]]-Table14[[#This Row],[مبلغ خروج]]</f>
        <v>-2693872032</v>
      </c>
      <c r="J322" s="216"/>
    </row>
    <row r="323" spans="1:10" ht="37.5">
      <c r="A323" s="302">
        <v>312</v>
      </c>
      <c r="B323" s="1" t="s">
        <v>2156</v>
      </c>
      <c r="C323" s="305"/>
      <c r="D323" s="307" t="s">
        <v>938</v>
      </c>
      <c r="E323" s="274" t="s">
        <v>2160</v>
      </c>
      <c r="F323" s="74" t="s">
        <v>2163</v>
      </c>
      <c r="G323" s="311">
        <v>13000000000</v>
      </c>
      <c r="I323" s="20">
        <f>I322+Table14[[#This Row],[مبلغ ورود]]-Table14[[#This Row],[مبلغ خروج]]</f>
        <v>10306127968</v>
      </c>
      <c r="J323" s="216"/>
    </row>
    <row r="324" spans="1:10" ht="21">
      <c r="A324" s="302">
        <v>313</v>
      </c>
      <c r="B324" s="261" t="s">
        <v>2156</v>
      </c>
      <c r="C324" s="1"/>
      <c r="D324" s="19" t="s">
        <v>938</v>
      </c>
      <c r="E324" s="274"/>
      <c r="F324" s="74" t="s">
        <v>2164</v>
      </c>
      <c r="H324" s="20">
        <v>10000</v>
      </c>
      <c r="I324" s="20">
        <f>I323+Table14[[#This Row],[مبلغ ورود]]-Table14[[#This Row],[مبلغ خروج]]</f>
        <v>10306117968</v>
      </c>
      <c r="J324" s="216"/>
    </row>
    <row r="325" spans="1:10" ht="21">
      <c r="A325" s="302">
        <v>314</v>
      </c>
      <c r="B325" s="261" t="s">
        <v>2165</v>
      </c>
      <c r="C325" s="1"/>
      <c r="D325" s="19" t="s">
        <v>938</v>
      </c>
      <c r="E325" s="274"/>
      <c r="F325" s="74" t="s">
        <v>2166</v>
      </c>
      <c r="H325" s="20">
        <f>78000+27000</f>
        <v>105000</v>
      </c>
      <c r="I325" s="20">
        <f>I324+Table14[[#This Row],[مبلغ ورود]]-Table14[[#This Row],[مبلغ خروج]]</f>
        <v>10306012968</v>
      </c>
      <c r="J325" s="216"/>
    </row>
    <row r="326" spans="1:10" ht="37.5">
      <c r="A326" s="1">
        <v>315</v>
      </c>
      <c r="B326" s="261" t="s">
        <v>2169</v>
      </c>
      <c r="C326" s="1">
        <v>787189</v>
      </c>
      <c r="D326" s="19" t="s">
        <v>938</v>
      </c>
      <c r="E326" s="274" t="s">
        <v>2160</v>
      </c>
      <c r="F326" s="74" t="s">
        <v>2170</v>
      </c>
      <c r="H326" s="20">
        <v>2092596791</v>
      </c>
      <c r="I326" s="20">
        <f>I325+Table14[[#This Row],[مبلغ ورود]]-Table14[[#This Row],[مبلغ خروج]]</f>
        <v>8213416177</v>
      </c>
      <c r="J326" s="216"/>
    </row>
    <row r="327" spans="1:10" ht="37.5">
      <c r="A327" s="1">
        <v>316</v>
      </c>
      <c r="B327" s="261" t="s">
        <v>2169</v>
      </c>
      <c r="C327" s="1">
        <v>787190</v>
      </c>
      <c r="D327" s="19" t="s">
        <v>938</v>
      </c>
      <c r="E327" s="274" t="s">
        <v>2171</v>
      </c>
      <c r="F327" s="74" t="s">
        <v>2172</v>
      </c>
      <c r="H327" s="20">
        <v>390477564</v>
      </c>
      <c r="I327" s="20">
        <f>I326+Table14[[#This Row],[مبلغ ورود]]-Table14[[#This Row],[مبلغ خروج]]</f>
        <v>7822938613</v>
      </c>
      <c r="J327" s="216"/>
    </row>
    <row r="328" spans="1:10" ht="21">
      <c r="A328" s="1">
        <v>317</v>
      </c>
      <c r="B328" s="261" t="s">
        <v>2174</v>
      </c>
      <c r="C328" s="1"/>
      <c r="D328" s="19" t="s">
        <v>938</v>
      </c>
      <c r="E328" s="274"/>
      <c r="F328" s="74" t="s">
        <v>2173</v>
      </c>
      <c r="G328" s="73">
        <v>1212154558</v>
      </c>
      <c r="I328" s="20">
        <f>I327+Table14[[#This Row],[مبلغ ورود]]-Table14[[#This Row],[مبلغ خروج]]</f>
        <v>9035093171</v>
      </c>
      <c r="J328" s="216"/>
    </row>
    <row r="329" spans="1:10" ht="37.5">
      <c r="A329" s="1">
        <v>318</v>
      </c>
      <c r="B329" s="261" t="s">
        <v>2175</v>
      </c>
      <c r="C329" s="1">
        <v>787191</v>
      </c>
      <c r="D329" s="19" t="s">
        <v>938</v>
      </c>
      <c r="E329" s="274" t="s">
        <v>2177</v>
      </c>
      <c r="F329" s="74" t="s">
        <v>2176</v>
      </c>
      <c r="H329" s="20">
        <v>3660000000</v>
      </c>
      <c r="I329" s="20">
        <f>I328+Table14[[#This Row],[مبلغ ورود]]-Table14[[#This Row],[مبلغ خروج]]</f>
        <v>5375093171</v>
      </c>
      <c r="J329" s="216"/>
    </row>
    <row r="330" spans="1:10" ht="37.5">
      <c r="A330" s="305">
        <v>319</v>
      </c>
      <c r="B330" s="261" t="s">
        <v>2175</v>
      </c>
      <c r="C330" s="305">
        <v>787192</v>
      </c>
      <c r="D330" s="19" t="s">
        <v>938</v>
      </c>
      <c r="E330" s="274" t="s">
        <v>2179</v>
      </c>
      <c r="F330" s="74" t="s">
        <v>2178</v>
      </c>
      <c r="G330" s="308"/>
      <c r="H330" s="20">
        <v>1836014328</v>
      </c>
      <c r="I330" s="20">
        <f>I329+Table14[[#This Row],[مبلغ ورود]]-Table14[[#This Row],[مبلغ خروج]]</f>
        <v>3539078843</v>
      </c>
      <c r="J330" s="216"/>
    </row>
    <row r="331" spans="1:10" ht="37.5">
      <c r="A331" s="305">
        <v>320</v>
      </c>
      <c r="B331" s="261" t="s">
        <v>2181</v>
      </c>
      <c r="C331" s="305">
        <v>787193</v>
      </c>
      <c r="D331" s="19" t="s">
        <v>938</v>
      </c>
      <c r="E331" s="274" t="s">
        <v>2182</v>
      </c>
      <c r="F331" s="197" t="s">
        <v>2180</v>
      </c>
      <c r="G331" s="308"/>
      <c r="H331" s="20">
        <v>129946617</v>
      </c>
      <c r="I331" s="20">
        <f>I330+Table14[[#This Row],[مبلغ ورود]]-Table14[[#This Row],[مبلغ خروج]]</f>
        <v>3409132226</v>
      </c>
      <c r="J331" s="216"/>
    </row>
    <row r="332" spans="1:10" ht="21">
      <c r="A332" s="299">
        <v>321</v>
      </c>
      <c r="B332" s="261" t="s">
        <v>2175</v>
      </c>
      <c r="C332" s="305"/>
      <c r="D332" s="19" t="s">
        <v>938</v>
      </c>
      <c r="E332" s="274"/>
      <c r="F332" s="74" t="s">
        <v>1756</v>
      </c>
      <c r="G332" s="301"/>
      <c r="H332" s="20">
        <f>78095</f>
        <v>78095</v>
      </c>
      <c r="I332" s="20">
        <f>I331+Table14[[#This Row],[مبلغ ورود]]-Table14[[#This Row],[مبلغ خروج]]</f>
        <v>3409054131</v>
      </c>
      <c r="J332" s="216"/>
    </row>
    <row r="333" spans="1:10" ht="21">
      <c r="A333" s="1">
        <v>322</v>
      </c>
      <c r="B333" s="261" t="s">
        <v>2183</v>
      </c>
      <c r="C333" s="305"/>
      <c r="D333" s="19" t="s">
        <v>938</v>
      </c>
      <c r="E333" s="274"/>
      <c r="F333" s="74" t="s">
        <v>1756</v>
      </c>
      <c r="H333" s="20">
        <v>250000</v>
      </c>
      <c r="I333" s="20">
        <f>I332+Table14[[#This Row],[مبلغ ورود]]-Table14[[#This Row],[مبلغ خروج]]</f>
        <v>3408804131</v>
      </c>
      <c r="J333" s="216"/>
    </row>
    <row r="334" spans="1:10" ht="37.5">
      <c r="A334" s="1">
        <v>323</v>
      </c>
      <c r="B334" s="261" t="s">
        <v>2185</v>
      </c>
      <c r="C334" s="1">
        <v>787194</v>
      </c>
      <c r="D334" s="19" t="s">
        <v>938</v>
      </c>
      <c r="E334" s="274" t="s">
        <v>2186</v>
      </c>
      <c r="F334" s="74" t="s">
        <v>2184</v>
      </c>
      <c r="H334" s="20">
        <v>371917350</v>
      </c>
      <c r="I334" s="20">
        <f>I333+Table14[[#This Row],[مبلغ ورود]]-Table14[[#This Row],[مبلغ خروج]]</f>
        <v>3036886781</v>
      </c>
      <c r="J334" s="216"/>
    </row>
    <row r="335" spans="1:10" ht="21">
      <c r="A335" s="1">
        <v>324</v>
      </c>
      <c r="B335" s="261" t="s">
        <v>2187</v>
      </c>
      <c r="C335" s="1">
        <v>787195</v>
      </c>
      <c r="D335" s="19" t="s">
        <v>938</v>
      </c>
      <c r="E335" s="274" t="s">
        <v>2188</v>
      </c>
      <c r="F335" s="74" t="s">
        <v>2193</v>
      </c>
      <c r="H335" s="220">
        <v>175499321</v>
      </c>
      <c r="I335" s="20">
        <f>I334+Table14[[#This Row],[مبلغ ورود]]-Table14[[#This Row],[مبلغ خروج]]</f>
        <v>2861387460</v>
      </c>
      <c r="J335" s="216"/>
    </row>
    <row r="336" spans="1:10" ht="21">
      <c r="A336" s="1">
        <v>325</v>
      </c>
      <c r="B336" s="261" t="s">
        <v>2187</v>
      </c>
      <c r="C336" s="1">
        <v>787196</v>
      </c>
      <c r="D336" s="19" t="s">
        <v>938</v>
      </c>
      <c r="E336" s="274" t="s">
        <v>2190</v>
      </c>
      <c r="F336" s="74" t="s">
        <v>2191</v>
      </c>
      <c r="H336" s="20">
        <v>90000000</v>
      </c>
      <c r="I336" s="20">
        <f>I335+Table14[[#This Row],[مبلغ ورود]]-Table14[[#This Row],[مبلغ خروج]]</f>
        <v>2771387460</v>
      </c>
      <c r="J336" s="216"/>
    </row>
    <row r="337" spans="1:10" ht="21">
      <c r="A337" s="1">
        <v>326</v>
      </c>
      <c r="B337" s="261" t="s">
        <v>2187</v>
      </c>
      <c r="C337" s="1">
        <v>787197</v>
      </c>
      <c r="D337" s="19" t="s">
        <v>938</v>
      </c>
      <c r="E337" s="274" t="s">
        <v>2192</v>
      </c>
      <c r="F337" s="197" t="s">
        <v>2189</v>
      </c>
      <c r="H337" s="20">
        <v>4000000</v>
      </c>
      <c r="I337" s="20">
        <f>I336+Table14[[#This Row],[مبلغ ورود]]-Table14[[#This Row],[مبلغ خروج]]</f>
        <v>2767387460</v>
      </c>
      <c r="J337" s="216"/>
    </row>
    <row r="338" spans="1:10" ht="21">
      <c r="A338" s="312">
        <v>327</v>
      </c>
      <c r="B338" s="261" t="s">
        <v>2185</v>
      </c>
      <c r="C338" s="312"/>
      <c r="D338" s="19" t="s">
        <v>938</v>
      </c>
      <c r="E338" s="274"/>
      <c r="F338" s="197" t="s">
        <v>2194</v>
      </c>
      <c r="G338" s="314"/>
      <c r="H338" s="20">
        <v>240000</v>
      </c>
      <c r="I338" s="20">
        <f>I337+Table14[[#This Row],[مبلغ ورود]]-Table14[[#This Row],[مبلغ خروج]]</f>
        <v>2767147460</v>
      </c>
      <c r="J338" s="216"/>
    </row>
    <row r="339" spans="1:10" ht="21">
      <c r="A339" s="1"/>
      <c r="B339" s="261" t="s">
        <v>2187</v>
      </c>
      <c r="C339" s="1"/>
      <c r="D339" s="19" t="s">
        <v>938</v>
      </c>
      <c r="E339" s="274"/>
      <c r="F339" s="197" t="s">
        <v>1756</v>
      </c>
      <c r="H339" s="20">
        <v>74383</v>
      </c>
      <c r="I339" s="20">
        <f>I338+Table14[[#This Row],[مبلغ ورود]]-Table14[[#This Row],[مبلغ خروج]]</f>
        <v>2767073077</v>
      </c>
      <c r="J339" s="216"/>
    </row>
    <row r="340" spans="1:10" ht="21">
      <c r="A340" s="312">
        <v>328</v>
      </c>
      <c r="B340" s="261" t="s">
        <v>2187</v>
      </c>
      <c r="C340" s="312"/>
      <c r="D340" s="19" t="s">
        <v>938</v>
      </c>
      <c r="E340" s="274"/>
      <c r="F340" s="197" t="s">
        <v>2196</v>
      </c>
      <c r="G340" s="314">
        <v>74383</v>
      </c>
      <c r="I340" s="20">
        <f>I339+Table14[[#This Row],[مبلغ ورود]]-Table14[[#This Row],[مبلغ خروج]]</f>
        <v>2767147460</v>
      </c>
      <c r="J340" s="216"/>
    </row>
    <row r="341" spans="1:10" ht="21">
      <c r="A341" s="312">
        <v>329</v>
      </c>
      <c r="B341" s="261" t="s">
        <v>2187</v>
      </c>
      <c r="C341" s="312"/>
      <c r="D341" s="19" t="s">
        <v>938</v>
      </c>
      <c r="E341" s="274"/>
      <c r="F341" s="197" t="s">
        <v>1756</v>
      </c>
      <c r="G341" s="314"/>
      <c r="H341" s="20">
        <v>74383</v>
      </c>
      <c r="I341" s="20">
        <f>I340+Table14[[#This Row],[مبلغ ورود]]-Table14[[#This Row],[مبلغ خروج]]</f>
        <v>2767073077</v>
      </c>
      <c r="J341" s="216"/>
    </row>
    <row r="342" spans="1:10" ht="21">
      <c r="A342" s="312">
        <v>330</v>
      </c>
      <c r="B342" s="313" t="s">
        <v>2195</v>
      </c>
      <c r="C342" s="312"/>
      <c r="D342" s="19" t="s">
        <v>938</v>
      </c>
      <c r="E342" s="274"/>
      <c r="F342" s="197" t="s">
        <v>2197</v>
      </c>
      <c r="G342" s="314"/>
      <c r="H342" s="20">
        <v>27000</v>
      </c>
      <c r="I342" s="20">
        <f>I341+Table14[[#This Row],[مبلغ ورود]]-Table14[[#This Row],[مبلغ خروج]]</f>
        <v>2767046077</v>
      </c>
      <c r="J342" s="216"/>
    </row>
    <row r="343" spans="1:10" ht="21">
      <c r="A343" s="312">
        <v>331</v>
      </c>
      <c r="B343" s="313" t="s">
        <v>2195</v>
      </c>
      <c r="C343" s="312"/>
      <c r="D343" s="19" t="s">
        <v>938</v>
      </c>
      <c r="E343" s="274"/>
      <c r="F343" s="197" t="s">
        <v>2198</v>
      </c>
      <c r="G343" s="314"/>
      <c r="H343" s="20">
        <v>18000</v>
      </c>
      <c r="I343" s="20">
        <f>I342+Table14[[#This Row],[مبلغ ورود]]-Table14[[#This Row],[مبلغ خروج]]</f>
        <v>2767028077</v>
      </c>
      <c r="J343" s="216"/>
    </row>
    <row r="344" spans="1:10" ht="37.5">
      <c r="A344" s="312">
        <v>332</v>
      </c>
      <c r="B344" s="261" t="s">
        <v>2200</v>
      </c>
      <c r="C344" s="312">
        <v>787198</v>
      </c>
      <c r="D344" s="19" t="s">
        <v>938</v>
      </c>
      <c r="E344" s="274" t="s">
        <v>2199</v>
      </c>
      <c r="F344" s="197" t="s">
        <v>2201</v>
      </c>
      <c r="G344" s="314"/>
      <c r="H344" s="20">
        <v>336005392</v>
      </c>
      <c r="I344" s="20">
        <f>I343+Table14[[#This Row],[مبلغ ورود]]-Table14[[#This Row],[مبلغ خروج]]</f>
        <v>2431022685</v>
      </c>
      <c r="J344" s="216"/>
    </row>
    <row r="345" spans="1:10" ht="21">
      <c r="A345" s="312">
        <v>333</v>
      </c>
      <c r="B345" s="261" t="s">
        <v>2202</v>
      </c>
      <c r="C345" s="315"/>
      <c r="D345" s="19" t="s">
        <v>938</v>
      </c>
      <c r="E345" s="274"/>
      <c r="F345" s="74" t="s">
        <v>2218</v>
      </c>
      <c r="G345" s="20">
        <v>30000000000</v>
      </c>
      <c r="I345" s="20">
        <f>I344+Table14[[#This Row],[مبلغ ورود]]-Table14[[#This Row],[مبلغ خروج]]</f>
        <v>32431022685</v>
      </c>
      <c r="J345" s="216"/>
    </row>
    <row r="346" spans="1:10" ht="37.5">
      <c r="A346" s="312">
        <v>334</v>
      </c>
      <c r="B346" s="261" t="s">
        <v>2202</v>
      </c>
      <c r="C346" s="312">
        <v>787199</v>
      </c>
      <c r="D346" s="19" t="s">
        <v>938</v>
      </c>
      <c r="E346" s="274" t="s">
        <v>2203</v>
      </c>
      <c r="F346" s="197" t="s">
        <v>2204</v>
      </c>
      <c r="G346" s="316"/>
      <c r="H346" s="20">
        <v>500000000</v>
      </c>
      <c r="I346" s="20">
        <f>I345+Table14[[#This Row],[مبلغ ورود]]-Table14[[#This Row],[مبلغ خروج]]</f>
        <v>31931022685</v>
      </c>
      <c r="J346" s="216"/>
    </row>
    <row r="347" spans="1:10" ht="21">
      <c r="A347" s="312">
        <v>335</v>
      </c>
      <c r="B347" s="261" t="s">
        <v>2208</v>
      </c>
      <c r="C347" s="315"/>
      <c r="D347" s="19" t="s">
        <v>938</v>
      </c>
      <c r="E347" s="274"/>
      <c r="F347" s="197" t="s">
        <v>2205</v>
      </c>
      <c r="G347" s="316"/>
      <c r="H347" s="20">
        <v>110000</v>
      </c>
      <c r="I347" s="20">
        <f>I346+Table14[[#This Row],[مبلغ ورود]]-Table14[[#This Row],[مبلغ خروج]]</f>
        <v>31930912685</v>
      </c>
      <c r="J347" s="216"/>
    </row>
    <row r="348" spans="1:10" ht="21">
      <c r="A348" s="312">
        <v>336</v>
      </c>
      <c r="B348" s="261" t="s">
        <v>2208</v>
      </c>
      <c r="C348" s="315"/>
      <c r="D348" s="19" t="s">
        <v>938</v>
      </c>
      <c r="E348" s="274"/>
      <c r="F348" s="197" t="s">
        <v>2206</v>
      </c>
      <c r="G348" s="316"/>
      <c r="H348" s="20">
        <v>20000</v>
      </c>
      <c r="I348" s="20">
        <f>I347+Table14[[#This Row],[مبلغ ورود]]-Table14[[#This Row],[مبلغ خروج]]</f>
        <v>31930892685</v>
      </c>
      <c r="J348" s="216"/>
    </row>
    <row r="349" spans="1:10" ht="21">
      <c r="A349" s="312">
        <v>337</v>
      </c>
      <c r="B349" s="261" t="s">
        <v>2208</v>
      </c>
      <c r="C349" s="315"/>
      <c r="D349" s="19" t="s">
        <v>938</v>
      </c>
      <c r="E349" s="274"/>
      <c r="F349" s="197" t="s">
        <v>2207</v>
      </c>
      <c r="G349" s="316">
        <v>20000</v>
      </c>
      <c r="I349" s="20">
        <f>I348+Table14[[#This Row],[مبلغ ورود]]-Table14[[#This Row],[مبلغ خروج]]</f>
        <v>31930912685</v>
      </c>
      <c r="J349" s="216"/>
    </row>
    <row r="350" spans="1:10" ht="21">
      <c r="A350" s="312">
        <v>338</v>
      </c>
      <c r="B350" s="261" t="s">
        <v>2211</v>
      </c>
      <c r="C350" s="315">
        <v>787200</v>
      </c>
      <c r="D350" s="19" t="s">
        <v>938</v>
      </c>
      <c r="E350" s="274" t="s">
        <v>2212</v>
      </c>
      <c r="F350" s="74" t="s">
        <v>2209</v>
      </c>
      <c r="G350" s="316"/>
      <c r="H350" s="20">
        <v>800418517</v>
      </c>
      <c r="I350" s="20">
        <f>I349+Table14[[#This Row],[مبلغ ورود]]-Table14[[#This Row],[مبلغ خروج]]</f>
        <v>31130494168</v>
      </c>
      <c r="J350" s="216"/>
    </row>
    <row r="351" spans="1:10" ht="21">
      <c r="A351" s="312">
        <v>339</v>
      </c>
      <c r="B351" s="261" t="s">
        <v>2211</v>
      </c>
      <c r="C351" s="317" t="s">
        <v>2213</v>
      </c>
      <c r="D351" s="19" t="s">
        <v>938</v>
      </c>
      <c r="E351" s="274" t="s">
        <v>2214</v>
      </c>
      <c r="F351" s="265" t="s">
        <v>2210</v>
      </c>
      <c r="H351" s="20">
        <v>430816197</v>
      </c>
      <c r="I351" s="20">
        <f>I350+Table14[[#This Row],[مبلغ ورود]]-Table14[[#This Row],[مبلغ خروج]]</f>
        <v>30699677971</v>
      </c>
      <c r="J351" s="216"/>
    </row>
    <row r="352" spans="1:10" ht="21">
      <c r="A352" s="312">
        <v>340</v>
      </c>
      <c r="B352" s="261" t="s">
        <v>2211</v>
      </c>
      <c r="C352" s="317" t="s">
        <v>2216</v>
      </c>
      <c r="D352" s="19" t="s">
        <v>938</v>
      </c>
      <c r="E352" s="274" t="s">
        <v>2217</v>
      </c>
      <c r="F352" s="74" t="s">
        <v>2215</v>
      </c>
      <c r="H352" s="20">
        <v>4000000000</v>
      </c>
      <c r="I352" s="20">
        <f>I351+Table14[[#This Row],[مبلغ ورود]]-Table14[[#This Row],[مبلغ خروج]]</f>
        <v>26699677971</v>
      </c>
      <c r="J352" s="216"/>
    </row>
    <row r="353" spans="1:10" ht="21">
      <c r="A353" s="312">
        <v>341</v>
      </c>
      <c r="B353" s="261" t="s">
        <v>2219</v>
      </c>
      <c r="C353" s="317"/>
      <c r="D353" s="19" t="s">
        <v>938</v>
      </c>
      <c r="E353" s="274"/>
      <c r="F353" s="74" t="s">
        <v>2220</v>
      </c>
      <c r="G353" s="73">
        <v>36470372</v>
      </c>
      <c r="I353" s="20">
        <f>I352+Table14[[#This Row],[مبلغ ورود]]-Table14[[#This Row],[مبلغ خروج]]</f>
        <v>26736148343</v>
      </c>
      <c r="J353" s="216"/>
    </row>
    <row r="354" spans="1:10" ht="21">
      <c r="A354" s="312">
        <v>342</v>
      </c>
      <c r="B354" s="261" t="s">
        <v>2221</v>
      </c>
      <c r="C354" s="317"/>
      <c r="D354" s="19" t="s">
        <v>938</v>
      </c>
      <c r="E354" s="274"/>
      <c r="F354" s="74" t="s">
        <v>2222</v>
      </c>
      <c r="H354" s="20">
        <f>6600+3000+3000+3000</f>
        <v>15600</v>
      </c>
      <c r="I354" s="20">
        <f>I353+Table14[[#This Row],[مبلغ ورود]]-Table14[[#This Row],[مبلغ خروج]]</f>
        <v>26736132743</v>
      </c>
      <c r="J354" s="216"/>
    </row>
    <row r="355" spans="1:10" ht="21">
      <c r="A355" s="312">
        <v>343</v>
      </c>
      <c r="B355" s="261" t="s">
        <v>2224</v>
      </c>
      <c r="C355" s="317"/>
      <c r="D355" s="19" t="s">
        <v>938</v>
      </c>
      <c r="E355" s="274"/>
      <c r="F355" s="74" t="s">
        <v>2223</v>
      </c>
      <c r="G355" s="73">
        <v>10000000000</v>
      </c>
      <c r="I355" s="20">
        <f>I354+Table14[[#This Row],[مبلغ ورود]]-Table14[[#This Row],[مبلغ خروج]]</f>
        <v>36736132743</v>
      </c>
      <c r="J355" s="216"/>
    </row>
    <row r="356" spans="1:10" ht="37.5">
      <c r="A356" s="1">
        <v>344</v>
      </c>
      <c r="B356" s="261" t="s">
        <v>2226</v>
      </c>
      <c r="C356" s="317" t="s">
        <v>2227</v>
      </c>
      <c r="D356" s="19" t="s">
        <v>938</v>
      </c>
      <c r="E356" s="274" t="s">
        <v>2228</v>
      </c>
      <c r="F356" s="74" t="s">
        <v>2225</v>
      </c>
      <c r="H356" s="220">
        <v>3790683057</v>
      </c>
      <c r="I356" s="20">
        <f>I355+Table14[[#This Row],[مبلغ ورود]]-Table14[[#This Row],[مبلغ خروج]]</f>
        <v>32945449686</v>
      </c>
      <c r="J356" s="216"/>
    </row>
    <row r="357" spans="1:10" ht="21">
      <c r="A357" s="1">
        <v>345</v>
      </c>
      <c r="B357" s="261" t="s">
        <v>2230</v>
      </c>
      <c r="C357" s="317"/>
      <c r="D357" s="19" t="s">
        <v>938</v>
      </c>
      <c r="E357" s="274"/>
      <c r="F357" s="74" t="s">
        <v>2229</v>
      </c>
      <c r="G357" s="73">
        <v>4096900</v>
      </c>
      <c r="I357" s="20">
        <f>I356+Table14[[#This Row],[مبلغ ورود]]-Table14[[#This Row],[مبلغ خروج]]</f>
        <v>32949546586</v>
      </c>
      <c r="J357" s="216"/>
    </row>
    <row r="358" spans="1:10" ht="37.5">
      <c r="A358" s="1">
        <v>346</v>
      </c>
      <c r="B358" s="261" t="s">
        <v>2232</v>
      </c>
      <c r="C358" s="317" t="s">
        <v>2233</v>
      </c>
      <c r="D358" s="19" t="s">
        <v>938</v>
      </c>
      <c r="E358" s="274" t="s">
        <v>2234</v>
      </c>
      <c r="F358" s="331" t="s">
        <v>2231</v>
      </c>
      <c r="H358" s="20">
        <v>19314926960</v>
      </c>
      <c r="I358" s="20">
        <f>I357+Table14[[#This Row],[مبلغ ورود]]-Table14[[#This Row],[مبلغ خروج]]</f>
        <v>13634619626</v>
      </c>
      <c r="J358" s="216"/>
    </row>
    <row r="359" spans="1:10" ht="21">
      <c r="A359" s="1">
        <v>347</v>
      </c>
      <c r="B359" s="261" t="s">
        <v>2232</v>
      </c>
      <c r="C359" s="317"/>
      <c r="D359" s="19" t="s">
        <v>938</v>
      </c>
      <c r="E359" s="274"/>
      <c r="F359" s="74" t="s">
        <v>2235</v>
      </c>
      <c r="G359" s="73">
        <v>1212154558</v>
      </c>
      <c r="I359" s="20">
        <f>I358+Table14[[#This Row],[مبلغ ورود]]-Table14[[#This Row],[مبلغ خروج]]</f>
        <v>14846774184</v>
      </c>
      <c r="J359" s="216"/>
    </row>
    <row r="360" spans="1:10" ht="21">
      <c r="A360" s="1">
        <v>348</v>
      </c>
      <c r="B360" s="261" t="s">
        <v>2236</v>
      </c>
      <c r="C360" s="317"/>
      <c r="D360" s="19" t="s">
        <v>938</v>
      </c>
      <c r="E360" s="274"/>
      <c r="F360" s="74" t="s">
        <v>2061</v>
      </c>
      <c r="G360" s="73">
        <v>200000000000</v>
      </c>
      <c r="I360" s="20">
        <f>I359+Table14[[#This Row],[مبلغ ورود]]-Table14[[#This Row],[مبلغ خروج]]</f>
        <v>214846774184</v>
      </c>
      <c r="J360" s="216"/>
    </row>
    <row r="361" spans="1:10" ht="37.5">
      <c r="A361" s="1">
        <v>349</v>
      </c>
      <c r="B361" s="261" t="s">
        <v>2236</v>
      </c>
      <c r="C361" s="317" t="s">
        <v>2237</v>
      </c>
      <c r="D361" s="19" t="s">
        <v>938</v>
      </c>
      <c r="E361" s="274" t="s">
        <v>2238</v>
      </c>
      <c r="F361" s="74" t="s">
        <v>2239</v>
      </c>
      <c r="G361" s="320"/>
      <c r="H361" s="20">
        <v>87686930800</v>
      </c>
      <c r="I361" s="20">
        <f>I360+Table14[[#This Row],[مبلغ ورود]]-Table14[[#This Row],[مبلغ خروج]]</f>
        <v>127159843384</v>
      </c>
      <c r="J361" s="216"/>
    </row>
    <row r="362" spans="1:10" ht="37.5">
      <c r="A362" s="318">
        <v>350</v>
      </c>
      <c r="B362" s="261" t="s">
        <v>2241</v>
      </c>
      <c r="C362" s="317" t="s">
        <v>2240</v>
      </c>
      <c r="D362" s="19" t="s">
        <v>938</v>
      </c>
      <c r="E362" s="274" t="s">
        <v>2242</v>
      </c>
      <c r="F362" s="197" t="s">
        <v>2243</v>
      </c>
      <c r="G362" s="320"/>
      <c r="H362" s="20">
        <v>32443312962</v>
      </c>
      <c r="I362" s="20">
        <f>I361+Table14[[#This Row],[مبلغ ورود]]-Table14[[#This Row],[مبلغ خروج]]</f>
        <v>94716530422</v>
      </c>
      <c r="J362" s="216"/>
    </row>
    <row r="363" spans="1:10" ht="37.5">
      <c r="A363" s="318">
        <v>351</v>
      </c>
      <c r="B363" s="261" t="s">
        <v>2241</v>
      </c>
      <c r="C363" s="317" t="s">
        <v>2244</v>
      </c>
      <c r="D363" s="19" t="s">
        <v>938</v>
      </c>
      <c r="E363" s="274" t="s">
        <v>2246</v>
      </c>
      <c r="F363" s="74" t="s">
        <v>2245</v>
      </c>
      <c r="G363" s="320"/>
      <c r="H363" s="20">
        <v>30000000000</v>
      </c>
      <c r="I363" s="20">
        <f>I362+Table14[[#This Row],[مبلغ ورود]]-Table14[[#This Row],[مبلغ خروج]]</f>
        <v>64716530422</v>
      </c>
      <c r="J363" s="216"/>
    </row>
    <row r="364" spans="1:10" ht="21">
      <c r="A364" s="318">
        <v>352</v>
      </c>
      <c r="B364" s="261" t="s">
        <v>2247</v>
      </c>
      <c r="C364" s="319"/>
      <c r="D364" s="19" t="s">
        <v>938</v>
      </c>
      <c r="E364" s="274"/>
      <c r="F364" s="74" t="s">
        <v>1756</v>
      </c>
      <c r="G364" s="320"/>
      <c r="H364" s="20">
        <f>250000+250000</f>
        <v>500000</v>
      </c>
      <c r="I364" s="20">
        <f>I363+Table14[[#This Row],[مبلغ ورود]]-Table14[[#This Row],[مبلغ خروج]]</f>
        <v>64716030422</v>
      </c>
      <c r="J364" s="216"/>
    </row>
    <row r="365" spans="1:10" ht="21">
      <c r="A365" s="318">
        <v>353</v>
      </c>
      <c r="B365" s="261" t="s">
        <v>2248</v>
      </c>
      <c r="C365" s="319"/>
      <c r="D365" s="19" t="s">
        <v>938</v>
      </c>
      <c r="E365" s="274"/>
      <c r="F365" s="74" t="s">
        <v>1756</v>
      </c>
      <c r="G365" s="320"/>
      <c r="H365" s="20">
        <v>250000</v>
      </c>
      <c r="I365" s="20">
        <f>I364+Table14[[#This Row],[مبلغ ورود]]-Table14[[#This Row],[مبلغ خروج]]</f>
        <v>64715780422</v>
      </c>
      <c r="J365" s="216"/>
    </row>
    <row r="366" spans="1:10" ht="21">
      <c r="A366" s="318">
        <v>354</v>
      </c>
      <c r="B366" s="261" t="s">
        <v>2248</v>
      </c>
      <c r="C366" s="317"/>
      <c r="D366" s="19" t="s">
        <v>938</v>
      </c>
      <c r="E366" s="274"/>
      <c r="F366" s="74" t="s">
        <v>2249</v>
      </c>
      <c r="G366" s="73">
        <v>250000</v>
      </c>
      <c r="I366" s="20">
        <f>I365+Table14[[#This Row],[مبلغ ورود]]-Table14[[#This Row],[مبلغ خروج]]</f>
        <v>64716030422</v>
      </c>
      <c r="J366" s="216"/>
    </row>
    <row r="367" spans="1:10" ht="21">
      <c r="A367" s="318">
        <v>355</v>
      </c>
      <c r="B367" s="261" t="s">
        <v>2248</v>
      </c>
      <c r="C367" s="317"/>
      <c r="D367" s="19" t="s">
        <v>938</v>
      </c>
      <c r="E367" s="274"/>
      <c r="F367" s="74" t="s">
        <v>1756</v>
      </c>
      <c r="G367" s="292"/>
      <c r="H367" s="20">
        <v>250000</v>
      </c>
      <c r="I367" s="20">
        <f>I366+Table14[[#This Row],[مبلغ ورود]]-Table14[[#This Row],[مبلغ خروج]]</f>
        <v>64715780422</v>
      </c>
      <c r="J367" s="216"/>
    </row>
    <row r="368" spans="1:10" ht="21">
      <c r="A368" s="1">
        <v>356</v>
      </c>
      <c r="B368" s="261" t="s">
        <v>2250</v>
      </c>
      <c r="C368" s="317"/>
      <c r="D368" s="19" t="s">
        <v>938</v>
      </c>
      <c r="E368" s="274"/>
      <c r="F368" s="74" t="s">
        <v>2251</v>
      </c>
      <c r="H368" s="20">
        <v>150000</v>
      </c>
      <c r="I368" s="20">
        <f>I367+Table14[[#This Row],[مبلغ ورود]]-Table14[[#This Row],[مبلغ خروج]]</f>
        <v>64715630422</v>
      </c>
      <c r="J368" s="216"/>
    </row>
    <row r="369" spans="1:10" ht="37.5">
      <c r="A369" s="1">
        <v>357</v>
      </c>
      <c r="B369" s="261" t="s">
        <v>2252</v>
      </c>
      <c r="C369" s="317" t="s">
        <v>2253</v>
      </c>
      <c r="D369" s="19" t="s">
        <v>938</v>
      </c>
      <c r="E369" s="274" t="s">
        <v>2254</v>
      </c>
      <c r="F369" s="74" t="s">
        <v>2255</v>
      </c>
      <c r="H369" s="20">
        <v>352046343</v>
      </c>
      <c r="I369" s="20">
        <f>I368+Table14[[#This Row],[مبلغ ورود]]-Table14[[#This Row],[مبلغ خروج]]</f>
        <v>64363584079</v>
      </c>
      <c r="J369" s="216"/>
    </row>
    <row r="370" spans="1:10" ht="21">
      <c r="A370" s="1">
        <v>358</v>
      </c>
      <c r="B370" s="261" t="s">
        <v>2252</v>
      </c>
      <c r="C370" s="317" t="s">
        <v>2257</v>
      </c>
      <c r="D370" s="19" t="s">
        <v>938</v>
      </c>
      <c r="E370" s="274" t="s">
        <v>2258</v>
      </c>
      <c r="F370" s="74" t="s">
        <v>2256</v>
      </c>
      <c r="H370" s="20">
        <v>15000000</v>
      </c>
      <c r="I370" s="20">
        <f>I369+Table14[[#This Row],[مبلغ ورود]]-Table14[[#This Row],[مبلغ خروج]]</f>
        <v>64348584079</v>
      </c>
      <c r="J370" s="216"/>
    </row>
    <row r="371" spans="1:10" ht="37.5">
      <c r="A371" s="1">
        <v>359</v>
      </c>
      <c r="B371" s="261" t="s">
        <v>2260</v>
      </c>
      <c r="C371" s="317" t="s">
        <v>2259</v>
      </c>
      <c r="D371" s="19" t="s">
        <v>938</v>
      </c>
      <c r="E371" s="274" t="s">
        <v>2261</v>
      </c>
      <c r="F371" s="74" t="s">
        <v>2262</v>
      </c>
      <c r="H371" s="20">
        <v>500000000</v>
      </c>
      <c r="I371" s="20">
        <f>I370+Table14[[#This Row],[مبلغ ورود]]-Table14[[#This Row],[مبلغ خروج]]</f>
        <v>63848584079</v>
      </c>
      <c r="J371" s="216"/>
    </row>
    <row r="372" spans="1:10" ht="21">
      <c r="A372" s="1">
        <v>360</v>
      </c>
      <c r="B372" s="261" t="s">
        <v>2265</v>
      </c>
      <c r="C372" s="317" t="s">
        <v>2263</v>
      </c>
      <c r="D372" s="19" t="s">
        <v>938</v>
      </c>
      <c r="E372" s="274" t="s">
        <v>2270</v>
      </c>
      <c r="F372" s="74" t="s">
        <v>2267</v>
      </c>
      <c r="H372" s="20">
        <v>654701689</v>
      </c>
      <c r="I372" s="20">
        <f>I371+Table14[[#This Row],[مبلغ ورود]]-Table14[[#This Row],[مبلغ خروج]]</f>
        <v>63193882390</v>
      </c>
      <c r="J372" s="216"/>
    </row>
    <row r="373" spans="1:10" ht="21">
      <c r="A373" s="1">
        <v>361</v>
      </c>
      <c r="B373" s="261" t="s">
        <v>2265</v>
      </c>
      <c r="C373" s="317" t="s">
        <v>2264</v>
      </c>
      <c r="D373" s="19" t="s">
        <v>938</v>
      </c>
      <c r="E373" s="274" t="s">
        <v>2271</v>
      </c>
      <c r="F373" s="74" t="s">
        <v>2268</v>
      </c>
      <c r="H373" s="20">
        <v>559548996</v>
      </c>
      <c r="I373" s="20">
        <f>I372+Table14[[#This Row],[مبلغ ورود]]-Table14[[#This Row],[مبلغ خروج]]</f>
        <v>62634333394</v>
      </c>
      <c r="J373" s="216"/>
    </row>
    <row r="374" spans="1:10" ht="37.5">
      <c r="A374" s="1">
        <v>362</v>
      </c>
      <c r="B374" s="261" t="s">
        <v>2265</v>
      </c>
      <c r="C374" s="317" t="s">
        <v>2266</v>
      </c>
      <c r="D374" s="19" t="s">
        <v>938</v>
      </c>
      <c r="E374" s="274" t="s">
        <v>2272</v>
      </c>
      <c r="F374" s="74" t="s">
        <v>2269</v>
      </c>
      <c r="H374" s="20">
        <v>5000000000</v>
      </c>
      <c r="I374" s="20">
        <f>I373+Table14[[#This Row],[مبلغ ورود]]-Table14[[#This Row],[مبلغ خروج]]</f>
        <v>57634333394</v>
      </c>
      <c r="J374" s="216"/>
    </row>
    <row r="375" spans="1:10" ht="21">
      <c r="A375" s="1">
        <v>363</v>
      </c>
      <c r="B375" s="261" t="s">
        <v>2273</v>
      </c>
      <c r="C375" s="317"/>
      <c r="D375" s="19" t="s">
        <v>938</v>
      </c>
      <c r="E375" s="274"/>
      <c r="F375" s="74" t="s">
        <v>2279</v>
      </c>
      <c r="G375" s="73">
        <v>9480000</v>
      </c>
      <c r="I375" s="20">
        <f>I374+Table14[[#This Row],[مبلغ ورود]]-Table14[[#This Row],[مبلغ خروج]]</f>
        <v>57643813394</v>
      </c>
      <c r="J375" s="216"/>
    </row>
    <row r="376" spans="1:10" ht="21">
      <c r="A376" s="1">
        <v>364</v>
      </c>
      <c r="B376" s="261" t="s">
        <v>2273</v>
      </c>
      <c r="C376" s="317"/>
      <c r="D376" s="19" t="s">
        <v>938</v>
      </c>
      <c r="E376" s="274"/>
      <c r="F376" s="74" t="s">
        <v>2274</v>
      </c>
      <c r="H376" s="20">
        <v>25000</v>
      </c>
      <c r="I376" s="20">
        <f>I375+Table14[[#This Row],[مبلغ ورود]]-Table14[[#This Row],[مبلغ خروج]]</f>
        <v>57643788394</v>
      </c>
      <c r="J376" s="216"/>
    </row>
    <row r="377" spans="1:10" ht="21">
      <c r="A377" s="1">
        <v>365</v>
      </c>
      <c r="B377" s="261" t="s">
        <v>2275</v>
      </c>
      <c r="C377" s="317"/>
      <c r="D377" s="19" t="s">
        <v>938</v>
      </c>
      <c r="E377" s="274"/>
      <c r="F377" s="74" t="s">
        <v>2276</v>
      </c>
      <c r="H377" s="20">
        <v>3900</v>
      </c>
      <c r="I377" s="20">
        <f>I376+Table14[[#This Row],[مبلغ ورود]]-Table14[[#This Row],[مبلغ خروج]]</f>
        <v>57643784494</v>
      </c>
      <c r="J377" s="216"/>
    </row>
    <row r="378" spans="1:10" ht="21">
      <c r="A378" s="1">
        <v>366</v>
      </c>
      <c r="B378" s="261" t="s">
        <v>2277</v>
      </c>
      <c r="C378" s="317"/>
      <c r="D378" s="19" t="s">
        <v>938</v>
      </c>
      <c r="E378" s="274"/>
      <c r="F378" s="74" t="s">
        <v>2278</v>
      </c>
      <c r="H378" s="20">
        <f>2700+3000+3000+7500</f>
        <v>16200</v>
      </c>
      <c r="I378" s="20">
        <f>I377+Table14[[#This Row],[مبلغ ورود]]-Table14[[#This Row],[مبلغ خروج]]</f>
        <v>57643768294</v>
      </c>
      <c r="J378" s="216"/>
    </row>
    <row r="379" spans="1:10" ht="37.5">
      <c r="A379" s="1">
        <v>367</v>
      </c>
      <c r="B379" s="261" t="s">
        <v>2281</v>
      </c>
      <c r="C379" s="317" t="s">
        <v>2282</v>
      </c>
      <c r="D379" s="19" t="s">
        <v>938</v>
      </c>
      <c r="E379" s="274" t="s">
        <v>2283</v>
      </c>
      <c r="F379" s="74" t="s">
        <v>2280</v>
      </c>
      <c r="H379" s="20">
        <v>25809678570</v>
      </c>
      <c r="I379" s="20">
        <f>I378+Table14[[#This Row],[مبلغ ورود]]-Table14[[#This Row],[مبلغ خروج]]</f>
        <v>31834089724</v>
      </c>
      <c r="J379" s="216"/>
    </row>
    <row r="380" spans="1:10" ht="37.5">
      <c r="A380" s="1">
        <v>368</v>
      </c>
      <c r="B380" s="261" t="s">
        <v>2281</v>
      </c>
      <c r="C380" s="317" t="s">
        <v>2286</v>
      </c>
      <c r="D380" s="19" t="s">
        <v>938</v>
      </c>
      <c r="E380" s="274" t="s">
        <v>2284</v>
      </c>
      <c r="F380" s="74" t="s">
        <v>2285</v>
      </c>
      <c r="H380" s="20">
        <v>30000000000</v>
      </c>
      <c r="I380" s="20">
        <f>I379+Table14[[#This Row],[مبلغ ورود]]-Table14[[#This Row],[مبلغ خروج]]</f>
        <v>1834089724</v>
      </c>
      <c r="J380" s="216"/>
    </row>
    <row r="381" spans="1:10" ht="21">
      <c r="A381" s="1">
        <v>369</v>
      </c>
      <c r="B381" s="261" t="s">
        <v>2288</v>
      </c>
      <c r="C381" s="322"/>
      <c r="D381" s="19" t="s">
        <v>938</v>
      </c>
      <c r="E381" s="274"/>
      <c r="F381" s="74" t="s">
        <v>2287</v>
      </c>
      <c r="G381" s="20">
        <v>261287142</v>
      </c>
      <c r="I381" s="20">
        <f>I380+Table14[[#This Row],[مبلغ ورود]]-Table14[[#This Row],[مبلغ خروج]]</f>
        <v>2095376866</v>
      </c>
      <c r="J381" s="216"/>
    </row>
    <row r="382" spans="1:10" ht="21">
      <c r="A382" s="1">
        <v>370</v>
      </c>
      <c r="B382" s="1" t="s">
        <v>2289</v>
      </c>
      <c r="C382" s="322"/>
      <c r="D382" s="19" t="s">
        <v>938</v>
      </c>
      <c r="E382" s="274"/>
      <c r="F382" s="74" t="s">
        <v>1756</v>
      </c>
      <c r="G382" s="323"/>
      <c r="H382" s="20">
        <v>250000</v>
      </c>
      <c r="I382" s="20">
        <f>I381+Table14[[#This Row],[مبلغ ورود]]-Table14[[#This Row],[مبلغ خروج]]</f>
        <v>2095126866</v>
      </c>
      <c r="J382" s="216"/>
    </row>
    <row r="383" spans="1:10" ht="37.5">
      <c r="A383" s="321">
        <v>371</v>
      </c>
      <c r="B383" s="1" t="s">
        <v>2290</v>
      </c>
      <c r="C383" s="317" t="s">
        <v>2291</v>
      </c>
      <c r="D383" s="19" t="s">
        <v>938</v>
      </c>
      <c r="E383" s="274" t="s">
        <v>2292</v>
      </c>
      <c r="F383" s="74" t="s">
        <v>2293</v>
      </c>
      <c r="G383" s="323"/>
      <c r="H383" s="20">
        <v>1619352000</v>
      </c>
      <c r="I383" s="20">
        <f>I382+Table14[[#This Row],[مبلغ ورود]]-Table14[[#This Row],[مبلغ خروج]]</f>
        <v>475774866</v>
      </c>
      <c r="J383" s="216"/>
    </row>
    <row r="384" spans="1:10" ht="21">
      <c r="A384" s="321">
        <v>372</v>
      </c>
      <c r="B384" s="1" t="s">
        <v>2290</v>
      </c>
      <c r="C384" s="317"/>
      <c r="D384" s="19" t="s">
        <v>938</v>
      </c>
      <c r="E384" s="274"/>
      <c r="F384" s="74" t="s">
        <v>1756</v>
      </c>
      <c r="H384" s="20">
        <v>250000</v>
      </c>
      <c r="I384" s="20">
        <f>I383+Table14[[#This Row],[مبلغ ورود]]-Table14[[#This Row],[مبلغ خروج]]</f>
        <v>475524866</v>
      </c>
      <c r="J384" s="216"/>
    </row>
    <row r="385" spans="1:10" ht="21">
      <c r="A385" s="321">
        <v>373</v>
      </c>
      <c r="B385" s="1" t="s">
        <v>2290</v>
      </c>
      <c r="C385" s="317"/>
      <c r="D385" s="19" t="s">
        <v>938</v>
      </c>
      <c r="E385" s="274"/>
      <c r="F385" s="74" t="s">
        <v>2294</v>
      </c>
      <c r="G385" s="73">
        <v>250000</v>
      </c>
      <c r="I385" s="20">
        <f>I384+Table14[[#This Row],[مبلغ ورود]]-Table14[[#This Row],[مبلغ خروج]]</f>
        <v>475774866</v>
      </c>
      <c r="J385" s="216"/>
    </row>
    <row r="386" spans="1:10" ht="21">
      <c r="A386" s="321">
        <v>374</v>
      </c>
      <c r="B386" s="1" t="s">
        <v>2290</v>
      </c>
      <c r="C386" s="317"/>
      <c r="D386" s="19" t="s">
        <v>938</v>
      </c>
      <c r="E386" s="274"/>
      <c r="F386" s="74" t="s">
        <v>1756</v>
      </c>
      <c r="H386" s="20">
        <v>250000</v>
      </c>
      <c r="I386" s="20">
        <f>I385+Table14[[#This Row],[مبلغ ورود]]-Table14[[#This Row],[مبلغ خروج]]</f>
        <v>475524866</v>
      </c>
      <c r="J386" s="216"/>
    </row>
    <row r="387" spans="1:10" ht="21">
      <c r="A387" s="321">
        <v>375</v>
      </c>
      <c r="B387" s="1" t="s">
        <v>2290</v>
      </c>
      <c r="C387" s="317"/>
      <c r="D387" s="19" t="s">
        <v>938</v>
      </c>
      <c r="E387" s="274"/>
      <c r="F387" s="74" t="s">
        <v>1756</v>
      </c>
      <c r="H387" s="20">
        <v>250000</v>
      </c>
      <c r="I387" s="20">
        <f>I386+Table14[[#This Row],[مبلغ ورود]]-Table14[[#This Row],[مبلغ خروج]]</f>
        <v>475274866</v>
      </c>
      <c r="J387" s="216"/>
    </row>
    <row r="388" spans="1:10" ht="21">
      <c r="A388" s="321">
        <v>376</v>
      </c>
      <c r="B388" s="1" t="s">
        <v>2290</v>
      </c>
      <c r="C388" s="317"/>
      <c r="D388" s="19" t="s">
        <v>938</v>
      </c>
      <c r="E388" s="274"/>
      <c r="F388" s="74" t="s">
        <v>2294</v>
      </c>
      <c r="G388" s="73">
        <v>250000</v>
      </c>
      <c r="I388" s="20">
        <f>I387+Table14[[#This Row],[مبلغ ورود]]-Table14[[#This Row],[مبلغ خروج]]</f>
        <v>475524866</v>
      </c>
      <c r="J388" s="216"/>
    </row>
    <row r="389" spans="1:10" ht="21">
      <c r="A389" s="321">
        <v>377</v>
      </c>
      <c r="B389" s="1" t="s">
        <v>2290</v>
      </c>
      <c r="C389" s="317"/>
      <c r="D389" s="19" t="s">
        <v>938</v>
      </c>
      <c r="E389" s="274"/>
      <c r="F389" s="74" t="s">
        <v>1756</v>
      </c>
      <c r="H389" s="20">
        <v>250000</v>
      </c>
      <c r="I389" s="20">
        <f>I388+Table14[[#This Row],[مبلغ ورود]]-Table14[[#This Row],[مبلغ خروج]]</f>
        <v>475274866</v>
      </c>
      <c r="J389" s="216"/>
    </row>
    <row r="390" spans="1:10" ht="37.5">
      <c r="A390" s="1">
        <v>378</v>
      </c>
      <c r="B390" s="261" t="s">
        <v>2295</v>
      </c>
      <c r="C390" s="317" t="s">
        <v>2297</v>
      </c>
      <c r="D390" s="19" t="s">
        <v>938</v>
      </c>
      <c r="E390" s="274" t="s">
        <v>2296</v>
      </c>
      <c r="F390" s="74" t="s">
        <v>2298</v>
      </c>
      <c r="H390" s="20">
        <v>29985000</v>
      </c>
      <c r="I390" s="20">
        <f>I389+Table14[[#This Row],[مبلغ ورود]]-Table14[[#This Row],[مبلغ خروج]]</f>
        <v>445289866</v>
      </c>
      <c r="J390" s="216"/>
    </row>
    <row r="391" spans="1:10" ht="21">
      <c r="A391" s="1">
        <v>379</v>
      </c>
      <c r="B391" s="261" t="s">
        <v>2295</v>
      </c>
      <c r="C391" s="317"/>
      <c r="D391" s="19" t="s">
        <v>938</v>
      </c>
      <c r="E391" s="274"/>
      <c r="F391" s="74" t="s">
        <v>2299</v>
      </c>
      <c r="G391" s="73">
        <v>1213998083</v>
      </c>
      <c r="I391" s="20">
        <f>I390+Table14[[#This Row],[مبلغ ورود]]-Table14[[#This Row],[مبلغ خروج]]</f>
        <v>1659287949</v>
      </c>
      <c r="J391" s="216"/>
    </row>
    <row r="392" spans="1:10" ht="21">
      <c r="A392" s="1">
        <v>380</v>
      </c>
      <c r="B392" s="261" t="s">
        <v>2295</v>
      </c>
      <c r="C392" s="322"/>
      <c r="D392" s="19" t="s">
        <v>938</v>
      </c>
      <c r="E392" s="274"/>
      <c r="F392" s="74" t="s">
        <v>1756</v>
      </c>
      <c r="G392" s="323"/>
      <c r="H392" s="20">
        <v>228853</v>
      </c>
      <c r="I392" s="20">
        <f>I391+Table14[[#This Row],[مبلغ ورود]]-Table14[[#This Row],[مبلغ خروج]]</f>
        <v>1659059096</v>
      </c>
      <c r="J392" s="216"/>
    </row>
    <row r="393" spans="1:10" ht="21">
      <c r="A393" s="1">
        <v>381</v>
      </c>
      <c r="B393" s="261" t="s">
        <v>2301</v>
      </c>
      <c r="C393" s="317" t="s">
        <v>2300</v>
      </c>
      <c r="D393" s="19" t="s">
        <v>938</v>
      </c>
      <c r="E393" s="274" t="s">
        <v>2302</v>
      </c>
      <c r="F393" s="74" t="s">
        <v>2303</v>
      </c>
      <c r="G393" s="323"/>
      <c r="H393" s="20">
        <v>25000000</v>
      </c>
      <c r="I393" s="20">
        <f>I392+Table14[[#This Row],[مبلغ ورود]]-Table14[[#This Row],[مبلغ خروج]]</f>
        <v>1634059096</v>
      </c>
      <c r="J393" s="216"/>
    </row>
    <row r="394" spans="1:10" ht="37.5">
      <c r="A394" s="1">
        <v>382</v>
      </c>
      <c r="B394" s="261" t="s">
        <v>2307</v>
      </c>
      <c r="C394" s="317" t="s">
        <v>2305</v>
      </c>
      <c r="D394" s="19" t="s">
        <v>938</v>
      </c>
      <c r="E394" s="274" t="s">
        <v>2306</v>
      </c>
      <c r="F394" s="74" t="s">
        <v>2304</v>
      </c>
      <c r="G394" s="324"/>
      <c r="H394" s="20">
        <v>366898800</v>
      </c>
      <c r="I394" s="20">
        <f>I393+Table14[[#This Row],[مبلغ ورود]]-Table14[[#This Row],[مبلغ خروج]]</f>
        <v>1267160296</v>
      </c>
      <c r="J394" s="216"/>
    </row>
    <row r="395" spans="1:10" ht="21">
      <c r="A395" s="1">
        <v>383</v>
      </c>
      <c r="B395" s="261" t="s">
        <v>2301</v>
      </c>
      <c r="C395" s="317"/>
      <c r="D395" s="19" t="s">
        <v>938</v>
      </c>
      <c r="E395" s="274"/>
      <c r="F395" s="74" t="s">
        <v>2331</v>
      </c>
      <c r="G395" s="20">
        <v>28364307</v>
      </c>
      <c r="I395" s="20">
        <f>I394+Table14[[#This Row],[مبلغ ورود]]-Table14[[#This Row],[مبلغ خروج]]</f>
        <v>1295524603</v>
      </c>
      <c r="J395" s="216"/>
    </row>
    <row r="396" spans="1:10" ht="21">
      <c r="A396" s="1">
        <v>384</v>
      </c>
      <c r="B396" s="261" t="s">
        <v>2308</v>
      </c>
      <c r="C396" s="317"/>
      <c r="D396" s="19" t="s">
        <v>938</v>
      </c>
      <c r="E396" s="274"/>
      <c r="F396" s="74" t="s">
        <v>2309</v>
      </c>
      <c r="G396" s="324"/>
      <c r="H396" s="20">
        <f>4500+25000</f>
        <v>29500</v>
      </c>
      <c r="I396" s="20">
        <f>I395+Table14[[#This Row],[مبلغ ورود]]-Table14[[#This Row],[مبلغ خروج]]</f>
        <v>1295495103</v>
      </c>
      <c r="J396" s="216"/>
    </row>
    <row r="397" spans="1:10" ht="21">
      <c r="A397" s="1">
        <v>385</v>
      </c>
      <c r="B397" s="261" t="s">
        <v>2311</v>
      </c>
      <c r="C397" s="317" t="s">
        <v>2312</v>
      </c>
      <c r="D397" s="19" t="s">
        <v>938</v>
      </c>
      <c r="E397" s="274" t="s">
        <v>2313</v>
      </c>
      <c r="F397" s="197" t="s">
        <v>2310</v>
      </c>
      <c r="G397" s="324"/>
      <c r="H397" s="20">
        <v>4000000</v>
      </c>
      <c r="I397" s="20">
        <f>I396+Table14[[#This Row],[مبلغ ورود]]-Table14[[#This Row],[مبلغ خروج]]</f>
        <v>1291495103</v>
      </c>
      <c r="J397" s="216"/>
    </row>
    <row r="398" spans="1:10" ht="37.5">
      <c r="A398" s="1">
        <v>386</v>
      </c>
      <c r="B398" s="261" t="s">
        <v>2315</v>
      </c>
      <c r="C398" s="317" t="s">
        <v>2314</v>
      </c>
      <c r="D398" s="19" t="s">
        <v>938</v>
      </c>
      <c r="E398" s="274" t="s">
        <v>2317</v>
      </c>
      <c r="F398" s="74" t="s">
        <v>2316</v>
      </c>
      <c r="H398" s="20">
        <v>254522171</v>
      </c>
      <c r="I398" s="20">
        <f>I397+Table14[[#This Row],[مبلغ ورود]]-Table14[[#This Row],[مبلغ خروج]]</f>
        <v>1036972932</v>
      </c>
      <c r="J398" s="216"/>
    </row>
    <row r="399" spans="1:10" ht="21">
      <c r="A399" s="1">
        <v>387</v>
      </c>
      <c r="B399" s="261" t="s">
        <v>2311</v>
      </c>
      <c r="C399" s="317"/>
      <c r="D399" s="19" t="s">
        <v>938</v>
      </c>
      <c r="E399" s="274"/>
      <c r="F399" s="74" t="s">
        <v>2274</v>
      </c>
      <c r="H399" s="20">
        <v>2998</v>
      </c>
      <c r="I399" s="20">
        <f>I398+Table14[[#This Row],[مبلغ ورود]]-Table14[[#This Row],[مبلغ خروج]]</f>
        <v>1036969934</v>
      </c>
      <c r="J399" s="216"/>
    </row>
    <row r="400" spans="1:10" ht="21">
      <c r="A400" s="1">
        <v>388</v>
      </c>
      <c r="B400" s="261" t="s">
        <v>2318</v>
      </c>
      <c r="C400" s="317"/>
      <c r="D400" s="19" t="s">
        <v>938</v>
      </c>
      <c r="E400" s="274"/>
      <c r="F400" s="74" t="s">
        <v>2319</v>
      </c>
      <c r="H400" s="20">
        <v>10000</v>
      </c>
      <c r="I400" s="20">
        <f>I399+Table14[[#This Row],[مبلغ ورود]]-Table14[[#This Row],[مبلغ خروج]]</f>
        <v>1036959934</v>
      </c>
      <c r="J400" s="216"/>
    </row>
    <row r="401" spans="1:10" ht="21">
      <c r="A401" s="1">
        <v>389</v>
      </c>
      <c r="B401" s="261" t="s">
        <v>2320</v>
      </c>
      <c r="C401" s="317" t="s">
        <v>2321</v>
      </c>
      <c r="D401" s="19" t="s">
        <v>938</v>
      </c>
      <c r="E401" s="274" t="s">
        <v>2327</v>
      </c>
      <c r="F401" s="74" t="s">
        <v>2324</v>
      </c>
      <c r="G401" s="325"/>
      <c r="H401" s="20">
        <v>685435569</v>
      </c>
      <c r="I401" s="20">
        <f>I400+Table14[[#This Row],[مبلغ ورود]]-Table14[[#This Row],[مبلغ خروج]]</f>
        <v>351524365</v>
      </c>
      <c r="J401" s="216"/>
    </row>
    <row r="402" spans="1:10" ht="21">
      <c r="A402" s="1">
        <v>390</v>
      </c>
      <c r="B402" s="261" t="s">
        <v>2320</v>
      </c>
      <c r="C402" s="317" t="s">
        <v>2322</v>
      </c>
      <c r="D402" s="19" t="s">
        <v>938</v>
      </c>
      <c r="E402" s="274" t="s">
        <v>2328</v>
      </c>
      <c r="F402" s="74" t="s">
        <v>2325</v>
      </c>
      <c r="G402" s="325"/>
      <c r="H402" s="20">
        <v>420378399</v>
      </c>
      <c r="I402" s="20">
        <f>I401+Table14[[#This Row],[مبلغ ورود]]-Table14[[#This Row],[مبلغ خروج]]</f>
        <v>-68854034</v>
      </c>
      <c r="J402" s="216"/>
    </row>
    <row r="403" spans="1:10" ht="37.5">
      <c r="A403" s="1">
        <v>391</v>
      </c>
      <c r="B403" s="261" t="s">
        <v>2320</v>
      </c>
      <c r="C403" s="317" t="s">
        <v>2323</v>
      </c>
      <c r="D403" s="19" t="s">
        <v>938</v>
      </c>
      <c r="E403" s="274" t="s">
        <v>2329</v>
      </c>
      <c r="F403" s="74" t="s">
        <v>2326</v>
      </c>
      <c r="G403" s="325"/>
      <c r="H403" s="195">
        <v>5000000000</v>
      </c>
      <c r="I403" s="20">
        <f>I402+Table14[[#This Row],[مبلغ ورود]]-Table14[[#This Row],[مبلغ خروج]]</f>
        <v>-5068854034</v>
      </c>
      <c r="J403" s="216"/>
    </row>
    <row r="404" spans="1:10" ht="37.5">
      <c r="A404" s="1">
        <v>392</v>
      </c>
      <c r="B404" s="261" t="s">
        <v>2320</v>
      </c>
      <c r="C404" s="317"/>
      <c r="D404" s="19" t="s">
        <v>938</v>
      </c>
      <c r="E404" s="274"/>
      <c r="F404" s="74" t="s">
        <v>2330</v>
      </c>
      <c r="G404" s="325">
        <v>20000000000</v>
      </c>
      <c r="I404" s="20">
        <f>I403+Table14[[#This Row],[مبلغ ورود]]-Table14[[#This Row],[مبلغ خروج]]</f>
        <v>14931145966</v>
      </c>
      <c r="J404" s="216"/>
    </row>
    <row r="405" spans="1:10" ht="21">
      <c r="A405" s="1">
        <v>393</v>
      </c>
      <c r="B405" s="261" t="s">
        <v>2333</v>
      </c>
      <c r="C405" s="317"/>
      <c r="D405" s="19" t="s">
        <v>938</v>
      </c>
      <c r="E405" s="274"/>
      <c r="F405" s="74" t="s">
        <v>2332</v>
      </c>
      <c r="G405" s="325">
        <v>6666176</v>
      </c>
      <c r="I405" s="20">
        <f>I404+Table14[[#This Row],[مبلغ ورود]]-Table14[[#This Row],[مبلغ خروج]]</f>
        <v>14937812142</v>
      </c>
      <c r="J405" s="216"/>
    </row>
    <row r="406" spans="1:10" ht="21">
      <c r="A406" s="1">
        <v>395</v>
      </c>
      <c r="B406" s="261" t="s">
        <v>2320</v>
      </c>
      <c r="C406" s="317"/>
      <c r="D406" s="19" t="s">
        <v>938</v>
      </c>
      <c r="E406" s="274"/>
      <c r="F406" s="74" t="s">
        <v>2334</v>
      </c>
      <c r="G406" s="325"/>
      <c r="H406" s="20">
        <v>30000</v>
      </c>
      <c r="I406" s="20">
        <f>I405+Table14[[#This Row],[مبلغ ورود]]-Table14[[#This Row],[مبلغ خروج]]</f>
        <v>14937782142</v>
      </c>
      <c r="J406" s="216"/>
    </row>
    <row r="407" spans="1:10" ht="21">
      <c r="A407" s="1">
        <v>396</v>
      </c>
      <c r="B407" s="261" t="s">
        <v>2335</v>
      </c>
      <c r="C407" s="317"/>
      <c r="D407" s="19" t="s">
        <v>938</v>
      </c>
      <c r="E407" s="274"/>
      <c r="F407" s="74" t="s">
        <v>2336</v>
      </c>
      <c r="G407" s="325"/>
      <c r="H407" s="20">
        <f>9600+5700</f>
        <v>15300</v>
      </c>
      <c r="I407" s="20">
        <f>I406+Table14[[#This Row],[مبلغ ورود]]-Table14[[#This Row],[مبلغ خروج]]</f>
        <v>14937766842</v>
      </c>
      <c r="J407" s="216"/>
    </row>
    <row r="408" spans="1:10" ht="21">
      <c r="A408" s="1">
        <v>397</v>
      </c>
      <c r="B408" s="261" t="s">
        <v>2337</v>
      </c>
      <c r="C408" s="317" t="s">
        <v>2338</v>
      </c>
      <c r="D408" s="19" t="s">
        <v>938</v>
      </c>
      <c r="E408" s="274" t="s">
        <v>2339</v>
      </c>
      <c r="F408" s="74" t="s">
        <v>2340</v>
      </c>
      <c r="G408" s="325"/>
      <c r="H408" s="20">
        <v>519461974</v>
      </c>
      <c r="I408" s="20">
        <f>I407+Table14[[#This Row],[مبلغ ورود]]-Table14[[#This Row],[مبلغ خروج]]</f>
        <v>14418304868</v>
      </c>
      <c r="J408" s="216"/>
    </row>
    <row r="409" spans="1:10" ht="21">
      <c r="A409" s="1"/>
      <c r="B409" s="261" t="s">
        <v>2375</v>
      </c>
      <c r="C409" s="317"/>
      <c r="D409" s="19" t="s">
        <v>938</v>
      </c>
      <c r="E409" s="274"/>
      <c r="F409" s="74" t="s">
        <v>2376</v>
      </c>
      <c r="H409" s="20">
        <v>5700</v>
      </c>
      <c r="I409" s="20">
        <f>I408+Table14[[#This Row],[مبلغ ورود]]-Table14[[#This Row],[مبلغ خروج]]</f>
        <v>14418299168</v>
      </c>
      <c r="J409" s="216"/>
    </row>
    <row r="410" spans="1:10" ht="37.5">
      <c r="A410" s="1">
        <v>398</v>
      </c>
      <c r="B410" s="261" t="s">
        <v>2342</v>
      </c>
      <c r="C410" s="317" t="s">
        <v>2341</v>
      </c>
      <c r="D410" s="19" t="s">
        <v>938</v>
      </c>
      <c r="E410" s="274" t="s">
        <v>2343</v>
      </c>
      <c r="F410" s="74" t="s">
        <v>2344</v>
      </c>
      <c r="H410" s="20">
        <v>3530158945</v>
      </c>
      <c r="I410" s="20">
        <f>I409+Table14[[#This Row],[مبلغ ورود]]-Table14[[#This Row],[مبلغ خروج]]</f>
        <v>10888140223</v>
      </c>
      <c r="J410" s="216"/>
    </row>
    <row r="411" spans="1:10" ht="37.5">
      <c r="A411" s="1">
        <v>399</v>
      </c>
      <c r="B411" s="261" t="s">
        <v>2342</v>
      </c>
      <c r="C411" s="317" t="s">
        <v>2346</v>
      </c>
      <c r="D411" s="19" t="s">
        <v>938</v>
      </c>
      <c r="E411" s="274" t="s">
        <v>2347</v>
      </c>
      <c r="F411" s="74" t="s">
        <v>2345</v>
      </c>
      <c r="H411" s="20">
        <v>88682400</v>
      </c>
      <c r="I411" s="20">
        <f>I410+Table14[[#This Row],[مبلغ ورود]]-Table14[[#This Row],[مبلغ خروج]]</f>
        <v>10799457823</v>
      </c>
      <c r="J411" s="216"/>
    </row>
    <row r="412" spans="1:10" ht="37.5">
      <c r="A412" s="1">
        <v>400</v>
      </c>
      <c r="B412" s="261" t="s">
        <v>2342</v>
      </c>
      <c r="C412" s="317" t="s">
        <v>2349</v>
      </c>
      <c r="D412" s="19" t="s">
        <v>938</v>
      </c>
      <c r="E412" s="274" t="s">
        <v>2350</v>
      </c>
      <c r="F412" s="74" t="s">
        <v>2348</v>
      </c>
      <c r="G412" s="326"/>
      <c r="H412" s="20">
        <v>381867724</v>
      </c>
      <c r="I412" s="20">
        <f>I411+Table14[[#This Row],[مبلغ ورود]]-Table14[[#This Row],[مبلغ خروج]]</f>
        <v>10417590099</v>
      </c>
      <c r="J412" s="216"/>
    </row>
    <row r="413" spans="1:10" ht="37.5">
      <c r="A413" s="1">
        <v>401</v>
      </c>
      <c r="B413" s="261" t="s">
        <v>2342</v>
      </c>
      <c r="C413" s="317" t="s">
        <v>2352</v>
      </c>
      <c r="D413" s="19" t="s">
        <v>938</v>
      </c>
      <c r="E413" s="274" t="s">
        <v>2353</v>
      </c>
      <c r="F413" s="74" t="s">
        <v>2351</v>
      </c>
      <c r="G413" s="326"/>
      <c r="H413" s="327">
        <v>1720000000</v>
      </c>
      <c r="I413" s="20">
        <f>I412+Table14[[#This Row],[مبلغ ورود]]-Table14[[#This Row],[مبلغ خروج]]</f>
        <v>8697590099</v>
      </c>
      <c r="J413" s="216"/>
    </row>
    <row r="414" spans="1:10" ht="21">
      <c r="A414" s="1">
        <v>402</v>
      </c>
      <c r="B414" s="261" t="s">
        <v>2342</v>
      </c>
      <c r="C414" s="317" t="s">
        <v>2355</v>
      </c>
      <c r="D414" s="19" t="s">
        <v>938</v>
      </c>
      <c r="E414" s="274" t="s">
        <v>2356</v>
      </c>
      <c r="F414" s="197" t="s">
        <v>2354</v>
      </c>
      <c r="G414" s="326"/>
      <c r="H414" s="20">
        <v>8000000</v>
      </c>
      <c r="I414" s="20">
        <f>I413+Table14[[#This Row],[مبلغ ورود]]-Table14[[#This Row],[مبلغ خروج]]</f>
        <v>8689590099</v>
      </c>
      <c r="J414" s="216"/>
    </row>
    <row r="415" spans="1:10" ht="21">
      <c r="A415" s="1">
        <v>403</v>
      </c>
      <c r="B415" s="261" t="s">
        <v>2342</v>
      </c>
      <c r="C415" s="317" t="s">
        <v>2357</v>
      </c>
      <c r="D415" s="19" t="s">
        <v>938</v>
      </c>
      <c r="E415" s="274" t="s">
        <v>2358</v>
      </c>
      <c r="F415" s="197" t="s">
        <v>2359</v>
      </c>
      <c r="G415" s="326"/>
      <c r="H415" s="20">
        <v>33603000</v>
      </c>
      <c r="I415" s="20">
        <f>I414+Table14[[#This Row],[مبلغ ورود]]-Table14[[#This Row],[مبلغ خروج]]</f>
        <v>8655987099</v>
      </c>
      <c r="J415" s="216"/>
    </row>
    <row r="416" spans="1:10" ht="21">
      <c r="A416" s="1">
        <v>404</v>
      </c>
      <c r="B416" s="261" t="s">
        <v>2342</v>
      </c>
      <c r="C416" s="328"/>
      <c r="D416" s="19" t="s">
        <v>938</v>
      </c>
      <c r="E416" s="274"/>
      <c r="F416" s="197" t="s">
        <v>2374</v>
      </c>
      <c r="G416" s="327">
        <v>1212154558</v>
      </c>
      <c r="I416" s="20">
        <f>I415+Table14[[#This Row],[مبلغ ورود]]-Table14[[#This Row],[مبلغ خروج]]</f>
        <v>9868141657</v>
      </c>
      <c r="J416" s="216"/>
    </row>
    <row r="417" spans="1:10" ht="21">
      <c r="A417" s="1">
        <v>405</v>
      </c>
      <c r="B417" s="261" t="s">
        <v>2360</v>
      </c>
      <c r="C417" s="317" t="s">
        <v>2361</v>
      </c>
      <c r="D417" s="19" t="s">
        <v>938</v>
      </c>
      <c r="E417" s="274" t="s">
        <v>2362</v>
      </c>
      <c r="F417" s="74" t="s">
        <v>2359</v>
      </c>
      <c r="G417" s="326"/>
      <c r="H417" s="20">
        <v>20593000</v>
      </c>
      <c r="I417" s="20">
        <f>I416+Table14[[#This Row],[مبلغ ورود]]-Table14[[#This Row],[مبلغ خروج]]</f>
        <v>9847548657</v>
      </c>
      <c r="J417" s="216"/>
    </row>
    <row r="418" spans="1:10" ht="37.5">
      <c r="A418" s="1">
        <v>406</v>
      </c>
      <c r="B418" s="261" t="s">
        <v>2360</v>
      </c>
      <c r="C418" s="317" t="s">
        <v>2363</v>
      </c>
      <c r="D418" s="19" t="s">
        <v>938</v>
      </c>
      <c r="E418" s="274" t="s">
        <v>2364</v>
      </c>
      <c r="F418" s="74" t="s">
        <v>2365</v>
      </c>
      <c r="G418" s="326"/>
      <c r="H418" s="20">
        <v>728000000</v>
      </c>
      <c r="I418" s="20">
        <f>I417+Table14[[#This Row],[مبلغ ورود]]-Table14[[#This Row],[مبلغ خروج]]</f>
        <v>9119548657</v>
      </c>
      <c r="J418" s="216"/>
    </row>
    <row r="419" spans="1:10" ht="21">
      <c r="A419" s="1"/>
      <c r="B419" s="261" t="s">
        <v>2360</v>
      </c>
      <c r="C419" s="317"/>
      <c r="D419" s="19" t="s">
        <v>938</v>
      </c>
      <c r="E419" s="274"/>
      <c r="F419" s="74" t="s">
        <v>1756</v>
      </c>
      <c r="H419" s="20">
        <f>250000+25000</f>
        <v>275000</v>
      </c>
      <c r="I419" s="20">
        <f>I418+Table14[[#This Row],[مبلغ ورود]]-Table14[[#This Row],[مبلغ خروج]]</f>
        <v>9119273657</v>
      </c>
      <c r="J419" s="216"/>
    </row>
    <row r="420" spans="1:10" ht="21">
      <c r="A420" s="1">
        <v>407</v>
      </c>
      <c r="B420" s="261" t="s">
        <v>2370</v>
      </c>
      <c r="C420" s="317" t="s">
        <v>2367</v>
      </c>
      <c r="D420" s="19" t="s">
        <v>938</v>
      </c>
      <c r="E420" s="274" t="s">
        <v>2371</v>
      </c>
      <c r="F420" s="74" t="s">
        <v>2366</v>
      </c>
      <c r="G420" s="326"/>
      <c r="H420" s="20">
        <v>579714729</v>
      </c>
      <c r="I420" s="20">
        <f>I419+Table14[[#This Row],[مبلغ ورود]]-Table14[[#This Row],[مبلغ خروج]]</f>
        <v>8539558928</v>
      </c>
      <c r="J420" s="216"/>
    </row>
    <row r="421" spans="1:10" ht="37.5">
      <c r="A421" s="1">
        <v>408</v>
      </c>
      <c r="B421" s="261" t="s">
        <v>2370</v>
      </c>
      <c r="C421" s="317" t="s">
        <v>2368</v>
      </c>
      <c r="D421" s="19" t="s">
        <v>938</v>
      </c>
      <c r="E421" s="274" t="s">
        <v>2373</v>
      </c>
      <c r="F421" s="74" t="s">
        <v>2372</v>
      </c>
      <c r="G421" s="326"/>
      <c r="H421" s="20">
        <v>15000000000</v>
      </c>
      <c r="I421" s="20">
        <f>I420+Table14[[#This Row],[مبلغ ورود]]-Table14[[#This Row],[مبلغ خروج]]</f>
        <v>-6460441072</v>
      </c>
      <c r="J421" s="216"/>
    </row>
    <row r="422" spans="1:10" ht="37.5">
      <c r="A422" s="1">
        <v>409</v>
      </c>
      <c r="B422" s="261" t="s">
        <v>2370</v>
      </c>
      <c r="C422" s="329"/>
      <c r="D422" s="19" t="s">
        <v>938</v>
      </c>
      <c r="E422" s="274"/>
      <c r="F422" s="74" t="s">
        <v>2330</v>
      </c>
      <c r="G422" s="219">
        <v>40000000000</v>
      </c>
      <c r="I422" s="20">
        <f>I421+Table14[[#This Row],[مبلغ ورود]]-Table14[[#This Row],[مبلغ خروج]]</f>
        <v>33539558928</v>
      </c>
      <c r="J422" s="216"/>
    </row>
    <row r="423" spans="1:10" ht="37.5">
      <c r="A423" s="1">
        <v>410</v>
      </c>
      <c r="B423" s="261" t="s">
        <v>2378</v>
      </c>
      <c r="C423" s="317" t="s">
        <v>2369</v>
      </c>
      <c r="D423" s="19" t="s">
        <v>938</v>
      </c>
      <c r="E423" s="274" t="s">
        <v>2379</v>
      </c>
      <c r="F423" s="74" t="s">
        <v>2377</v>
      </c>
      <c r="H423" s="20">
        <v>78455000</v>
      </c>
      <c r="I423" s="20">
        <f>I422+Table14[[#This Row],[مبلغ ورود]]-Table14[[#This Row],[مبلغ خروج]]</f>
        <v>33461103928</v>
      </c>
      <c r="J423" s="216"/>
    </row>
    <row r="424" spans="1:10" ht="37.5">
      <c r="A424" s="1">
        <v>411</v>
      </c>
      <c r="B424" s="261" t="s">
        <v>2378</v>
      </c>
      <c r="C424" s="317" t="s">
        <v>2380</v>
      </c>
      <c r="D424" s="19" t="s">
        <v>938</v>
      </c>
      <c r="E424" s="274" t="s">
        <v>2381</v>
      </c>
      <c r="F424" s="74" t="s">
        <v>2382</v>
      </c>
      <c r="H424" s="20">
        <v>29918000</v>
      </c>
      <c r="I424" s="20">
        <f>I423+Table14[[#This Row],[مبلغ ورود]]-Table14[[#This Row],[مبلغ خروج]]</f>
        <v>33431185928</v>
      </c>
      <c r="J424" s="216"/>
    </row>
    <row r="425" spans="1:10" ht="37.5">
      <c r="A425" s="1">
        <v>412</v>
      </c>
      <c r="B425" s="261" t="s">
        <v>2385</v>
      </c>
      <c r="C425" s="317" t="s">
        <v>2384</v>
      </c>
      <c r="D425" s="19" t="s">
        <v>938</v>
      </c>
      <c r="E425" s="274" t="s">
        <v>2386</v>
      </c>
      <c r="F425" s="74" t="s">
        <v>2383</v>
      </c>
      <c r="H425" s="20">
        <v>17085765200</v>
      </c>
      <c r="I425" s="20">
        <f>I424+Table14[[#This Row],[مبلغ ورود]]-Table14[[#This Row],[مبلغ خروج]]</f>
        <v>16345420728</v>
      </c>
      <c r="J425" s="216"/>
    </row>
    <row r="426" spans="1:10" ht="21">
      <c r="A426" s="1">
        <v>413</v>
      </c>
      <c r="B426" s="261" t="s">
        <v>2378</v>
      </c>
      <c r="C426" s="317"/>
      <c r="D426" s="19" t="s">
        <v>938</v>
      </c>
      <c r="E426" s="274"/>
      <c r="F426" s="74" t="s">
        <v>1990</v>
      </c>
      <c r="H426" s="20">
        <v>5700</v>
      </c>
      <c r="I426" s="20">
        <f>I425+Table14[[#This Row],[مبلغ ورود]]-Table14[[#This Row],[مبلغ خروج]]</f>
        <v>16345415028</v>
      </c>
      <c r="J426" s="216"/>
    </row>
    <row r="427" spans="1:10" ht="21">
      <c r="A427" s="1">
        <v>414</v>
      </c>
      <c r="B427" s="261" t="s">
        <v>2389</v>
      </c>
      <c r="C427" s="317"/>
      <c r="D427" s="19" t="s">
        <v>938</v>
      </c>
      <c r="E427" s="274"/>
      <c r="F427" s="74" t="s">
        <v>1180</v>
      </c>
      <c r="G427" s="73">
        <v>50000000000</v>
      </c>
      <c r="I427" s="20">
        <f>I426+Table14[[#This Row],[مبلغ ورود]]-Table14[[#This Row],[مبلغ خروج]]</f>
        <v>66345415028</v>
      </c>
      <c r="J427" s="216"/>
    </row>
    <row r="428" spans="1:10" ht="21">
      <c r="A428" s="1">
        <v>415</v>
      </c>
      <c r="B428" s="261" t="s">
        <v>2389</v>
      </c>
      <c r="C428" s="317" t="s">
        <v>2387</v>
      </c>
      <c r="D428" s="19" t="s">
        <v>938</v>
      </c>
      <c r="E428" s="274" t="s">
        <v>2388</v>
      </c>
      <c r="F428" s="74" t="s">
        <v>2390</v>
      </c>
      <c r="H428" s="20">
        <v>41242000</v>
      </c>
      <c r="I428" s="20">
        <f>I427+Table14[[#This Row],[مبلغ ورود]]-Table14[[#This Row],[مبلغ خروج]]</f>
        <v>66304173028</v>
      </c>
      <c r="J428" s="216"/>
    </row>
    <row r="429" spans="1:10" ht="21">
      <c r="A429" s="1">
        <v>416</v>
      </c>
      <c r="B429" s="261" t="s">
        <v>2389</v>
      </c>
      <c r="C429" s="317" t="s">
        <v>2391</v>
      </c>
      <c r="D429" s="19" t="s">
        <v>938</v>
      </c>
      <c r="E429" s="274"/>
      <c r="F429" s="74" t="s">
        <v>1604</v>
      </c>
      <c r="H429" s="20">
        <v>0</v>
      </c>
      <c r="I429" s="20">
        <f>I428+Table14[[#This Row],[مبلغ ورود]]-Table14[[#This Row],[مبلغ خروج]]</f>
        <v>66304173028</v>
      </c>
      <c r="J429" s="216"/>
    </row>
    <row r="430" spans="1:10" ht="37.5">
      <c r="A430" s="1">
        <v>417</v>
      </c>
      <c r="B430" s="261" t="s">
        <v>2389</v>
      </c>
      <c r="C430" s="317" t="s">
        <v>2393</v>
      </c>
      <c r="D430" s="19" t="s">
        <v>938</v>
      </c>
      <c r="E430" s="274" t="s">
        <v>2394</v>
      </c>
      <c r="F430" s="74" t="s">
        <v>2392</v>
      </c>
      <c r="H430" s="20">
        <v>66031000</v>
      </c>
      <c r="I430" s="20">
        <f>I429+Table14[[#This Row],[مبلغ ورود]]-Table14[[#This Row],[مبلغ خروج]]</f>
        <v>66238142028</v>
      </c>
      <c r="J430" s="216"/>
    </row>
    <row r="431" spans="1:10" ht="37.5">
      <c r="A431" s="1">
        <v>418</v>
      </c>
      <c r="B431" s="261" t="s">
        <v>2389</v>
      </c>
      <c r="C431" s="317" t="s">
        <v>2395</v>
      </c>
      <c r="D431" s="19" t="s">
        <v>938</v>
      </c>
      <c r="E431" s="274" t="s">
        <v>2399</v>
      </c>
      <c r="F431" s="74" t="s">
        <v>2403</v>
      </c>
      <c r="H431" s="20">
        <v>5925000000</v>
      </c>
      <c r="I431" s="20">
        <f>I430+Table14[[#This Row],[مبلغ ورود]]-Table14[[#This Row],[مبلغ خروج]]</f>
        <v>60313142028</v>
      </c>
      <c r="J431" s="216"/>
    </row>
    <row r="432" spans="1:10" ht="37.5">
      <c r="A432" s="1">
        <v>419</v>
      </c>
      <c r="B432" s="261" t="s">
        <v>2389</v>
      </c>
      <c r="C432" s="317" t="s">
        <v>2396</v>
      </c>
      <c r="D432" s="19" t="s">
        <v>938</v>
      </c>
      <c r="E432" s="274" t="s">
        <v>2400</v>
      </c>
      <c r="F432" s="74" t="s">
        <v>2404</v>
      </c>
      <c r="H432" s="20">
        <v>1413765500</v>
      </c>
      <c r="I432" s="20">
        <f>I431+Table14[[#This Row],[مبلغ ورود]]-Table14[[#This Row],[مبلغ خروج]]</f>
        <v>58899376528</v>
      </c>
      <c r="J432" s="216"/>
    </row>
    <row r="433" spans="1:10" ht="37.5">
      <c r="A433" s="1">
        <v>420</v>
      </c>
      <c r="B433" s="261" t="s">
        <v>2389</v>
      </c>
      <c r="C433" s="317" t="s">
        <v>2397</v>
      </c>
      <c r="D433" s="19" t="s">
        <v>938</v>
      </c>
      <c r="E433" s="274" t="s">
        <v>2401</v>
      </c>
      <c r="F433" s="74" t="s">
        <v>2405</v>
      </c>
      <c r="H433" s="20">
        <v>21740000000</v>
      </c>
      <c r="I433" s="20">
        <f>I432+Table14[[#This Row],[مبلغ ورود]]-Table14[[#This Row],[مبلغ خروج]]</f>
        <v>37159376528</v>
      </c>
      <c r="J433" s="216"/>
    </row>
    <row r="434" spans="1:10" ht="37.5">
      <c r="A434" s="1">
        <v>421</v>
      </c>
      <c r="B434" s="261" t="s">
        <v>2389</v>
      </c>
      <c r="C434" s="317" t="s">
        <v>2398</v>
      </c>
      <c r="D434" s="19" t="s">
        <v>938</v>
      </c>
      <c r="E434" s="274" t="s">
        <v>2402</v>
      </c>
      <c r="F434" s="74" t="s">
        <v>2406</v>
      </c>
      <c r="H434" s="20">
        <v>30000000</v>
      </c>
      <c r="I434" s="20">
        <f>I433+Table14[[#This Row],[مبلغ ورود]]-Table14[[#This Row],[مبلغ خروج]]</f>
        <v>37129376528</v>
      </c>
      <c r="J434" s="216"/>
    </row>
    <row r="435" spans="1:10" ht="21">
      <c r="A435" s="1">
        <v>422</v>
      </c>
      <c r="B435" s="261" t="s">
        <v>2389</v>
      </c>
      <c r="C435" s="317"/>
      <c r="D435" s="19" t="s">
        <v>938</v>
      </c>
      <c r="E435" s="274"/>
      <c r="F435" s="74" t="s">
        <v>1756</v>
      </c>
      <c r="H435" s="20">
        <f>6603</f>
        <v>6603</v>
      </c>
      <c r="I435" s="20">
        <f>I434+Table14[[#This Row],[مبلغ ورود]]-Table14[[#This Row],[مبلغ خروج]]</f>
        <v>37129369925</v>
      </c>
      <c r="J435" s="216"/>
    </row>
    <row r="436" spans="1:10" ht="37.5">
      <c r="A436" s="1">
        <v>423</v>
      </c>
      <c r="B436" s="261" t="s">
        <v>2409</v>
      </c>
      <c r="C436" s="317" t="s">
        <v>2407</v>
      </c>
      <c r="D436" s="19" t="s">
        <v>938</v>
      </c>
      <c r="E436" s="274" t="s">
        <v>2408</v>
      </c>
      <c r="F436" s="74" t="s">
        <v>2410</v>
      </c>
      <c r="H436" s="20">
        <v>43337835000</v>
      </c>
      <c r="I436" s="20">
        <f>I435+Table14[[#This Row],[مبلغ ورود]]-Table14[[#This Row],[مبلغ خروج]]</f>
        <v>-6208465075</v>
      </c>
      <c r="J436" s="216"/>
    </row>
    <row r="437" spans="1:10" ht="37.5">
      <c r="A437" s="1">
        <v>424</v>
      </c>
      <c r="B437" s="261" t="s">
        <v>2409</v>
      </c>
      <c r="C437" s="317"/>
      <c r="D437" s="19" t="s">
        <v>938</v>
      </c>
      <c r="E437" s="274"/>
      <c r="F437" s="74" t="s">
        <v>2330</v>
      </c>
      <c r="G437" s="73">
        <v>30000000000</v>
      </c>
      <c r="I437" s="20">
        <f>I436+Table14[[#This Row],[مبلغ ورود]]-Table14[[#This Row],[مبلغ خروج]]</f>
        <v>23791534925</v>
      </c>
      <c r="J437" s="216"/>
    </row>
    <row r="438" spans="1:10" ht="21">
      <c r="A438" s="1">
        <v>425</v>
      </c>
      <c r="B438" s="261" t="s">
        <v>2409</v>
      </c>
      <c r="C438" s="317"/>
      <c r="D438" s="19" t="s">
        <v>938</v>
      </c>
      <c r="E438" s="274"/>
      <c r="F438" s="74" t="s">
        <v>2411</v>
      </c>
      <c r="H438" s="20">
        <f>250000+250000+3000+250000+250000</f>
        <v>1003000</v>
      </c>
      <c r="I438" s="20">
        <f>I437+Table14[[#This Row],[مبلغ ورود]]-Table14[[#This Row],[مبلغ خروج]]</f>
        <v>23790531925</v>
      </c>
      <c r="J438" s="216"/>
    </row>
    <row r="439" spans="1:10" ht="21">
      <c r="A439" s="1">
        <v>426</v>
      </c>
      <c r="B439" s="261" t="s">
        <v>2412</v>
      </c>
      <c r="C439" s="317"/>
      <c r="D439" s="19" t="s">
        <v>938</v>
      </c>
      <c r="E439" s="274"/>
      <c r="F439" s="74" t="s">
        <v>1756</v>
      </c>
      <c r="H439" s="20">
        <f>250000</f>
        <v>250000</v>
      </c>
      <c r="I439" s="20">
        <f>I438+Table14[[#This Row],[مبلغ ورود]]-Table14[[#This Row],[مبلغ خروج]]</f>
        <v>23790281925</v>
      </c>
      <c r="J439" s="216"/>
    </row>
    <row r="440" spans="1:10" ht="21">
      <c r="A440" s="1"/>
      <c r="B440" s="261"/>
      <c r="C440" s="317"/>
      <c r="E440" s="274"/>
      <c r="I440" s="20">
        <f>I439+Table14[[#This Row],[مبلغ ورود]]-Table14[[#This Row],[مبلغ خروج]]</f>
        <v>23790281925</v>
      </c>
      <c r="J440" s="216"/>
    </row>
    <row r="441" spans="1:10" ht="21">
      <c r="A441" s="1"/>
      <c r="B441" s="261"/>
      <c r="C441" s="317"/>
      <c r="E441" s="274"/>
      <c r="I441" s="20">
        <f>I440+Table14[[#This Row],[مبلغ ورود]]-Table14[[#This Row],[مبلغ خروج]]</f>
        <v>23790281925</v>
      </c>
      <c r="J441" s="216"/>
    </row>
    <row r="442" spans="1:10" ht="21">
      <c r="A442" s="1"/>
      <c r="B442" s="261"/>
      <c r="C442" s="317"/>
      <c r="E442" s="274"/>
      <c r="F442" s="74"/>
      <c r="I442" s="20">
        <f>I441+Table14[[#This Row],[مبلغ ورود]]-Table14[[#This Row],[مبلغ خروج]]</f>
        <v>23790281925</v>
      </c>
      <c r="J442" s="216"/>
    </row>
    <row r="443" spans="1:10" ht="21">
      <c r="A443" s="1"/>
      <c r="B443" s="261"/>
      <c r="C443" s="317"/>
      <c r="E443" s="274"/>
      <c r="F443" s="74"/>
      <c r="I443" s="20">
        <f>I442+Table14[[#This Row],[مبلغ ورود]]-Table14[[#This Row],[مبلغ خروج]]</f>
        <v>23790281925</v>
      </c>
      <c r="J443" s="216"/>
    </row>
    <row r="444" spans="1:10" ht="21">
      <c r="A444" s="1"/>
      <c r="B444" s="261"/>
      <c r="C444" s="317"/>
      <c r="E444" s="274"/>
      <c r="F444" s="74"/>
      <c r="I444" s="20">
        <f>I443+Table14[[#This Row],[مبلغ ورود]]-Table14[[#This Row],[مبلغ خروج]]</f>
        <v>23790281925</v>
      </c>
      <c r="J444" s="216"/>
    </row>
    <row r="445" spans="1:10" ht="21">
      <c r="A445" s="1"/>
      <c r="B445" s="261"/>
      <c r="C445" s="317"/>
      <c r="E445" s="274"/>
      <c r="F445" s="74"/>
      <c r="I445" s="20">
        <f>I444+Table14[[#This Row],[مبلغ ورود]]-Table14[[#This Row],[مبلغ خروج]]</f>
        <v>23790281925</v>
      </c>
      <c r="J445" s="216"/>
    </row>
    <row r="446" spans="1:10" ht="21">
      <c r="A446" s="1"/>
      <c r="B446" s="261"/>
      <c r="C446" s="317"/>
      <c r="E446" s="274"/>
      <c r="F446" s="74"/>
      <c r="I446" s="20">
        <f>I445+Table14[[#This Row],[مبلغ ورود]]-Table14[[#This Row],[مبلغ خروج]]</f>
        <v>23790281925</v>
      </c>
      <c r="J446" s="216"/>
    </row>
    <row r="447" spans="1:10" ht="21">
      <c r="A447" s="1"/>
      <c r="B447" s="261"/>
      <c r="C447" s="317"/>
      <c r="E447" s="274"/>
      <c r="F447" s="74"/>
      <c r="I447" s="20">
        <f>I446+Table14[[#This Row],[مبلغ ورود]]-Table14[[#This Row],[مبلغ خروج]]</f>
        <v>23790281925</v>
      </c>
      <c r="J447" s="216"/>
    </row>
    <row r="448" spans="1:10" ht="21">
      <c r="A448" s="1"/>
      <c r="B448" s="261"/>
      <c r="C448" s="317"/>
      <c r="E448" s="274"/>
      <c r="F448" s="213"/>
      <c r="I448" s="20">
        <f>I447+Table14[[#This Row],[مبلغ ورود]]-Table14[[#This Row],[مبلغ خروج]]</f>
        <v>23790281925</v>
      </c>
      <c r="J448" s="216"/>
    </row>
    <row r="449" spans="1:10" ht="21">
      <c r="A449" s="1"/>
      <c r="B449" s="261"/>
      <c r="C449" s="317"/>
      <c r="E449" s="274"/>
      <c r="F449" s="212"/>
      <c r="I449" s="20">
        <f>I448+Table14[[#This Row],[مبلغ ورود]]-Table14[[#This Row],[مبلغ خروج]]</f>
        <v>23790281925</v>
      </c>
      <c r="J449" s="216"/>
    </row>
    <row r="450" spans="1:10" ht="21">
      <c r="A450" s="1"/>
      <c r="B450" s="261"/>
      <c r="C450" s="317"/>
      <c r="E450" s="274"/>
      <c r="F450" s="213"/>
      <c r="I450" s="20">
        <f>I449+Table14[[#This Row],[مبلغ ورود]]-Table14[[#This Row],[مبلغ خروج]]</f>
        <v>23790281925</v>
      </c>
      <c r="J450" s="216"/>
    </row>
    <row r="451" spans="1:10" ht="21">
      <c r="A451" s="1"/>
      <c r="B451" s="261"/>
      <c r="C451" s="317"/>
      <c r="E451" s="274"/>
      <c r="F451" s="213"/>
      <c r="I451" s="20">
        <f>I450+Table14[[#This Row],[مبلغ ورود]]-Table14[[#This Row],[مبلغ خروج]]</f>
        <v>23790281925</v>
      </c>
      <c r="J451" s="216"/>
    </row>
    <row r="452" spans="1:10" ht="21">
      <c r="A452" s="1"/>
      <c r="B452" s="273"/>
      <c r="C452" s="317"/>
      <c r="E452" s="274"/>
      <c r="F452" s="74"/>
      <c r="I452" s="20">
        <f>I451+Table14[[#This Row],[مبلغ ورود]]-Table14[[#This Row],[مبلغ خروج]]</f>
        <v>23790281925</v>
      </c>
      <c r="J452" s="216"/>
    </row>
    <row r="453" spans="1:10" ht="21">
      <c r="A453" s="1" t="s">
        <v>537</v>
      </c>
      <c r="B453" s="21"/>
      <c r="C453" s="1"/>
      <c r="D453" s="21"/>
      <c r="E453" s="21"/>
      <c r="F453" s="78"/>
      <c r="G453" s="80">
        <f>SUBTOTAL(109,Table14[مبلغ ورود])</f>
        <v>3117531947588</v>
      </c>
      <c r="H453" s="80">
        <f>SUBTOTAL(109,Table14[مبلغ خروج])</f>
        <v>3093741665663</v>
      </c>
      <c r="I453" s="159"/>
      <c r="J453" s="159"/>
    </row>
    <row r="454" spans="1:10">
      <c r="G454" s="19"/>
      <c r="H454" s="19"/>
      <c r="I454" s="19"/>
    </row>
    <row r="455" spans="1:10">
      <c r="G455" s="19"/>
      <c r="H455" s="19"/>
      <c r="I455" s="19"/>
    </row>
    <row r="456" spans="1:10">
      <c r="G456" s="19"/>
      <c r="H456" s="19"/>
      <c r="I456" s="19"/>
    </row>
    <row r="457" spans="1:10">
      <c r="G457" s="19"/>
      <c r="H457" s="19"/>
      <c r="I457" s="19"/>
    </row>
    <row r="458" spans="1:10">
      <c r="G458" s="19"/>
      <c r="H458" s="19"/>
      <c r="I458" s="19"/>
    </row>
    <row r="459" spans="1:10">
      <c r="G459" s="19"/>
      <c r="H459" s="19"/>
      <c r="I459" s="19"/>
    </row>
    <row r="460" spans="1:10">
      <c r="G460" s="19"/>
      <c r="H460" s="19"/>
      <c r="I460" s="19"/>
    </row>
    <row r="461" spans="1:10">
      <c r="G461" s="19"/>
      <c r="H461" s="19"/>
      <c r="I461" s="19"/>
    </row>
  </sheetData>
  <mergeCells count="2">
    <mergeCell ref="A1:I1"/>
    <mergeCell ref="A2:I2"/>
  </mergeCells>
  <phoneticPr fontId="60" type="noConversion"/>
  <printOptions horizontalCentered="1"/>
  <pageMargins left="0.7" right="0.7" top="0.75" bottom="0.75" header="0.3" footer="0.3"/>
  <pageSetup paperSize="9" scale="24" fitToHeight="15" orientation="portrait" r:id="rId1"/>
  <headerFooter>
    <oddFooter>&amp;L&amp;P of&amp;N&amp;C&amp;"B Nazanin,Bold"&amp;10زینب امین زاده&amp;R&amp;D</oddFooter>
  </headerFooter>
  <rowBreaks count="3" manualBreakCount="3">
    <brk id="168" max="8" man="1"/>
    <brk id="243" max="8" man="1"/>
    <brk id="335" max="8" man="1"/>
  </rowBreak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EEDA5-67A5-411B-A1BE-F98EE342F19D}">
  <sheetPr>
    <tabColor theme="9" tint="-0.499984740745262"/>
  </sheetPr>
  <dimension ref="A1:I307"/>
  <sheetViews>
    <sheetView rightToLeft="1" view="pageBreakPreview" topLeftCell="A275" zoomScaleNormal="100" zoomScaleSheetLayoutView="100" workbookViewId="0">
      <selection activeCell="H290" sqref="H290"/>
    </sheetView>
  </sheetViews>
  <sheetFormatPr defaultColWidth="9.140625" defaultRowHeight="18.75"/>
  <cols>
    <col min="1" max="1" width="5.42578125" style="19" customWidth="1"/>
    <col min="2" max="2" width="13.28515625" style="19" customWidth="1"/>
    <col min="3" max="3" width="12.85546875" style="274" bestFit="1" customWidth="1"/>
    <col min="4" max="4" width="16.42578125" style="19" customWidth="1"/>
    <col min="5" max="5" width="25.7109375" style="274" customWidth="1"/>
    <col min="6" max="6" width="121.7109375" style="19" customWidth="1"/>
    <col min="7" max="7" width="20.28515625" style="73" customWidth="1"/>
    <col min="8" max="8" width="19.5703125" style="20" bestFit="1" customWidth="1"/>
    <col min="9" max="9" width="20.28515625" style="20" customWidth="1"/>
    <col min="10" max="10" width="25.85546875" style="19" customWidth="1"/>
    <col min="11" max="16384" width="9.140625" style="19"/>
  </cols>
  <sheetData>
    <row r="1" spans="1:9" ht="21">
      <c r="A1" s="435" t="s">
        <v>6</v>
      </c>
      <c r="B1" s="435"/>
      <c r="C1" s="435"/>
      <c r="D1" s="435"/>
      <c r="E1" s="435"/>
      <c r="F1" s="435"/>
      <c r="G1" s="435"/>
      <c r="H1" s="435"/>
      <c r="I1" s="435"/>
    </row>
    <row r="2" spans="1:9" ht="21">
      <c r="A2" s="435" t="s">
        <v>27</v>
      </c>
      <c r="B2" s="435"/>
      <c r="C2" s="435"/>
      <c r="D2" s="435"/>
      <c r="E2" s="435"/>
      <c r="F2" s="435"/>
      <c r="G2" s="435"/>
      <c r="H2" s="435"/>
      <c r="I2" s="435"/>
    </row>
    <row r="3" spans="1:9" ht="21">
      <c r="A3" s="1" t="s">
        <v>0</v>
      </c>
      <c r="B3" s="1" t="s">
        <v>1</v>
      </c>
      <c r="C3" s="317" t="s">
        <v>2</v>
      </c>
      <c r="D3" s="1" t="s">
        <v>18</v>
      </c>
      <c r="E3" s="317" t="s">
        <v>1791</v>
      </c>
      <c r="F3" s="1" t="s">
        <v>19</v>
      </c>
      <c r="G3" s="71" t="s">
        <v>3</v>
      </c>
      <c r="H3" s="2" t="s">
        <v>4</v>
      </c>
      <c r="I3" s="2" t="s">
        <v>5</v>
      </c>
    </row>
    <row r="4" spans="1:9" ht="21">
      <c r="A4" s="1">
        <v>1</v>
      </c>
      <c r="B4" s="1"/>
      <c r="C4" s="317"/>
      <c r="F4" s="74" t="s">
        <v>2414</v>
      </c>
      <c r="I4" s="20">
        <v>23790281925</v>
      </c>
    </row>
    <row r="5" spans="1:9" ht="21">
      <c r="A5" s="1">
        <v>2</v>
      </c>
      <c r="B5" s="1" t="s">
        <v>2415</v>
      </c>
      <c r="C5" s="317"/>
      <c r="D5" s="74" t="s">
        <v>938</v>
      </c>
      <c r="E5" s="272"/>
      <c r="F5" s="74" t="s">
        <v>2416</v>
      </c>
      <c r="G5" s="20">
        <v>72057243</v>
      </c>
      <c r="I5" s="20">
        <f>I4+Table145[[#This Row],[مبلغ ورود]]-Table145[[#This Row],[مبلغ خروج]]</f>
        <v>23862339168</v>
      </c>
    </row>
    <row r="6" spans="1:9" ht="21">
      <c r="A6" s="1">
        <v>3</v>
      </c>
      <c r="B6" s="1" t="s">
        <v>2413</v>
      </c>
      <c r="C6" s="330"/>
      <c r="D6" s="74" t="s">
        <v>938</v>
      </c>
      <c r="E6" s="272"/>
      <c r="F6" s="74" t="s">
        <v>2417</v>
      </c>
      <c r="G6" s="20">
        <v>1171744490</v>
      </c>
      <c r="I6" s="20">
        <f>I5+Table145[[#This Row],[مبلغ ورود]]-Table145[[#This Row],[مبلغ خروج]]</f>
        <v>25034083658</v>
      </c>
    </row>
    <row r="7" spans="1:9" ht="21">
      <c r="A7" s="1">
        <v>4</v>
      </c>
      <c r="B7" s="1" t="s">
        <v>2419</v>
      </c>
      <c r="C7" s="317"/>
      <c r="D7" s="74" t="s">
        <v>938</v>
      </c>
      <c r="E7" s="272"/>
      <c r="F7" s="74" t="s">
        <v>2418</v>
      </c>
      <c r="H7" s="20">
        <v>110000</v>
      </c>
      <c r="I7" s="20">
        <f>I6+Table145[[#This Row],[مبلغ ورود]]-Table145[[#This Row],[مبلغ خروج]]</f>
        <v>25033973658</v>
      </c>
    </row>
    <row r="8" spans="1:9" ht="21">
      <c r="A8" s="1">
        <v>5</v>
      </c>
      <c r="B8" s="1" t="s">
        <v>2423</v>
      </c>
      <c r="C8" s="317" t="s">
        <v>2421</v>
      </c>
      <c r="D8" s="74" t="s">
        <v>938</v>
      </c>
      <c r="E8" s="274" t="s">
        <v>2424</v>
      </c>
      <c r="F8" s="197" t="s">
        <v>2420</v>
      </c>
      <c r="G8" s="253"/>
      <c r="H8" s="20">
        <v>95930745</v>
      </c>
      <c r="I8" s="20">
        <f>I7+Table145[[#This Row],[مبلغ ورود]]-Table145[[#This Row],[مبلغ خروج]]</f>
        <v>24938042913</v>
      </c>
    </row>
    <row r="9" spans="1:9" ht="21">
      <c r="A9" s="1">
        <v>6</v>
      </c>
      <c r="B9" s="1" t="s">
        <v>2423</v>
      </c>
      <c r="C9" s="317" t="s">
        <v>2422</v>
      </c>
      <c r="D9" s="74" t="s">
        <v>938</v>
      </c>
      <c r="E9" s="272" t="s">
        <v>2425</v>
      </c>
      <c r="F9" s="197" t="s">
        <v>2372</v>
      </c>
      <c r="H9" s="20">
        <v>2500000000</v>
      </c>
      <c r="I9" s="20">
        <f>I8+Table145[[#This Row],[مبلغ ورود]]-Table145[[#This Row],[مبلغ خروج]]</f>
        <v>22438042913</v>
      </c>
    </row>
    <row r="10" spans="1:9" ht="21">
      <c r="A10" s="1">
        <v>7</v>
      </c>
      <c r="B10" s="1" t="s">
        <v>2426</v>
      </c>
      <c r="C10" s="317" t="s">
        <v>2427</v>
      </c>
      <c r="D10" s="74" t="s">
        <v>938</v>
      </c>
      <c r="E10" s="272" t="s">
        <v>2428</v>
      </c>
      <c r="F10" s="74" t="s">
        <v>2310</v>
      </c>
      <c r="G10" s="184"/>
      <c r="H10" s="185">
        <v>4000000</v>
      </c>
      <c r="I10" s="20">
        <f>I9+Table145[[#This Row],[مبلغ ورود]]-Table145[[#This Row],[مبلغ خروج]]</f>
        <v>22434042913</v>
      </c>
    </row>
    <row r="11" spans="1:9" ht="37.5">
      <c r="A11" s="1">
        <v>8</v>
      </c>
      <c r="B11" s="1" t="s">
        <v>2426</v>
      </c>
      <c r="C11" s="317" t="s">
        <v>2430</v>
      </c>
      <c r="D11" s="74" t="s">
        <v>938</v>
      </c>
      <c r="E11" s="272" t="s">
        <v>2429</v>
      </c>
      <c r="F11" s="74" t="s">
        <v>2431</v>
      </c>
      <c r="G11" s="20"/>
      <c r="H11" s="20">
        <v>97972708</v>
      </c>
      <c r="I11" s="20">
        <f>I10+Table145[[#This Row],[مبلغ ورود]]-Table145[[#This Row],[مبلغ خروج]]</f>
        <v>22336070205</v>
      </c>
    </row>
    <row r="12" spans="1:9" ht="37.5">
      <c r="A12" s="1">
        <v>9</v>
      </c>
      <c r="B12" s="261" t="s">
        <v>2432</v>
      </c>
      <c r="C12" s="317" t="s">
        <v>2433</v>
      </c>
      <c r="D12" s="19" t="s">
        <v>938</v>
      </c>
      <c r="E12" s="274" t="s">
        <v>2434</v>
      </c>
      <c r="F12" s="74" t="s">
        <v>2435</v>
      </c>
      <c r="H12" s="220">
        <v>2153560000</v>
      </c>
      <c r="I12" s="20">
        <f>I11+Table145[[#This Row],[مبلغ ورود]]-Table145[[#This Row],[مبلغ خروج]]</f>
        <v>20182510205</v>
      </c>
    </row>
    <row r="13" spans="1:9" ht="21">
      <c r="A13" s="1">
        <v>10</v>
      </c>
      <c r="B13" s="261" t="s">
        <v>2426</v>
      </c>
      <c r="C13" s="317"/>
      <c r="D13" s="19" t="s">
        <v>938</v>
      </c>
      <c r="F13" s="74" t="s">
        <v>1990</v>
      </c>
      <c r="G13" s="325"/>
      <c r="H13" s="220">
        <v>4800</v>
      </c>
      <c r="I13" s="20">
        <f>I12+Table145[[#This Row],[مبلغ ورود]]-Table145[[#This Row],[مبلغ خروج]]</f>
        <v>20182505405</v>
      </c>
    </row>
    <row r="14" spans="1:9" ht="21">
      <c r="A14" s="1">
        <v>11</v>
      </c>
      <c r="B14" s="261" t="s">
        <v>2432</v>
      </c>
      <c r="C14" s="317"/>
      <c r="D14" s="19" t="s">
        <v>938</v>
      </c>
      <c r="F14" s="74" t="s">
        <v>2274</v>
      </c>
      <c r="G14" s="325"/>
      <c r="H14" s="20">
        <v>9797</v>
      </c>
      <c r="I14" s="20">
        <f>I13+Table145[[#This Row],[مبلغ ورود]]-Table145[[#This Row],[مبلغ خروج]]</f>
        <v>20182495608</v>
      </c>
    </row>
    <row r="15" spans="1:9" ht="21">
      <c r="A15" s="1">
        <v>12</v>
      </c>
      <c r="B15" s="261" t="s">
        <v>2436</v>
      </c>
      <c r="C15" s="317"/>
      <c r="D15" s="19" t="s">
        <v>938</v>
      </c>
      <c r="F15" s="74" t="s">
        <v>1778</v>
      </c>
      <c r="G15" s="325">
        <v>304000000000</v>
      </c>
      <c r="H15" s="195"/>
      <c r="I15" s="20">
        <f>I14+Table145[[#This Row],[مبلغ ورود]]-Table145[[#This Row],[مبلغ خروج]]</f>
        <v>324182495608</v>
      </c>
    </row>
    <row r="16" spans="1:9" ht="37.5">
      <c r="A16" s="1">
        <v>13</v>
      </c>
      <c r="B16" s="261" t="s">
        <v>2436</v>
      </c>
      <c r="C16" s="317" t="s">
        <v>2438</v>
      </c>
      <c r="D16" s="19" t="s">
        <v>938</v>
      </c>
      <c r="E16" s="274" t="s">
        <v>2439</v>
      </c>
      <c r="F16" s="74" t="s">
        <v>2437</v>
      </c>
      <c r="G16" s="325"/>
      <c r="H16" s="20">
        <v>37873681000</v>
      </c>
      <c r="I16" s="20">
        <f>I15+Table145[[#This Row],[مبلغ ورود]]-Table145[[#This Row],[مبلغ خروج]]</f>
        <v>286308814608</v>
      </c>
    </row>
    <row r="17" spans="1:9" ht="37.5">
      <c r="A17" s="1">
        <v>14</v>
      </c>
      <c r="B17" s="261" t="s">
        <v>2436</v>
      </c>
      <c r="C17" s="317" t="s">
        <v>2441</v>
      </c>
      <c r="D17" s="19" t="s">
        <v>938</v>
      </c>
      <c r="E17" s="274" t="s">
        <v>2442</v>
      </c>
      <c r="F17" s="74" t="s">
        <v>2440</v>
      </c>
      <c r="G17" s="325"/>
      <c r="H17" s="20">
        <v>1362500000</v>
      </c>
      <c r="I17" s="20">
        <f>I16+Table145[[#This Row],[مبلغ ورود]]-Table145[[#This Row],[مبلغ خروج]]</f>
        <v>284946314608</v>
      </c>
    </row>
    <row r="18" spans="1:9" ht="37.5">
      <c r="A18" s="1">
        <v>15</v>
      </c>
      <c r="B18" s="261" t="s">
        <v>2436</v>
      </c>
      <c r="C18" s="317" t="s">
        <v>2444</v>
      </c>
      <c r="D18" s="19" t="s">
        <v>938</v>
      </c>
      <c r="E18" s="274" t="s">
        <v>2445</v>
      </c>
      <c r="F18" s="74" t="s">
        <v>2443</v>
      </c>
      <c r="G18" s="325"/>
      <c r="H18" s="20">
        <v>380601043</v>
      </c>
      <c r="I18" s="20">
        <f>I17+Table145[[#This Row],[مبلغ ورود]]-Table145[[#This Row],[مبلغ خروج]]</f>
        <v>284565713565</v>
      </c>
    </row>
    <row r="19" spans="1:9" ht="37.5">
      <c r="A19" s="1">
        <v>16</v>
      </c>
      <c r="B19" s="261" t="s">
        <v>2436</v>
      </c>
      <c r="C19" s="317" t="s">
        <v>2446</v>
      </c>
      <c r="D19" s="19" t="s">
        <v>938</v>
      </c>
      <c r="E19" s="274" t="s">
        <v>2447</v>
      </c>
      <c r="F19" s="74" t="s">
        <v>2448</v>
      </c>
      <c r="G19" s="325"/>
      <c r="H19" s="20">
        <v>12800526891</v>
      </c>
      <c r="I19" s="20">
        <f>I18+Table145[[#This Row],[مبلغ ورود]]-Table145[[#This Row],[مبلغ خروج]]</f>
        <v>271765186674</v>
      </c>
    </row>
    <row r="20" spans="1:9" ht="37.5">
      <c r="A20" s="1">
        <v>17</v>
      </c>
      <c r="B20" s="261" t="s">
        <v>2436</v>
      </c>
      <c r="C20" s="317" t="s">
        <v>2450</v>
      </c>
      <c r="D20" s="19" t="s">
        <v>938</v>
      </c>
      <c r="E20" s="274" t="s">
        <v>2451</v>
      </c>
      <c r="F20" s="74" t="s">
        <v>2449</v>
      </c>
      <c r="G20" s="325"/>
      <c r="H20" s="20">
        <v>170000000000</v>
      </c>
      <c r="I20" s="20">
        <f>I19+Table145[[#This Row],[مبلغ ورود]]-Table145[[#This Row],[مبلغ خروج]]</f>
        <v>101765186674</v>
      </c>
    </row>
    <row r="21" spans="1:9" ht="37.5">
      <c r="A21" s="1">
        <v>18</v>
      </c>
      <c r="B21" s="261" t="s">
        <v>2436</v>
      </c>
      <c r="C21" s="317" t="s">
        <v>2452</v>
      </c>
      <c r="D21" s="19" t="s">
        <v>938</v>
      </c>
      <c r="E21" s="274" t="s">
        <v>2454</v>
      </c>
      <c r="F21" s="74" t="s">
        <v>2453</v>
      </c>
      <c r="H21" s="20">
        <v>100000000000</v>
      </c>
      <c r="I21" s="20">
        <f>I20+Table145[[#This Row],[مبلغ ورود]]-Table145[[#This Row],[مبلغ خروج]]</f>
        <v>1765186674</v>
      </c>
    </row>
    <row r="22" spans="1:9" ht="21">
      <c r="A22" s="1">
        <v>19</v>
      </c>
      <c r="B22" s="261" t="s">
        <v>2455</v>
      </c>
      <c r="C22" s="317"/>
      <c r="D22" s="19" t="s">
        <v>938</v>
      </c>
      <c r="F22" s="74" t="s">
        <v>1561</v>
      </c>
      <c r="H22" s="20">
        <f>250000+250000</f>
        <v>500000</v>
      </c>
      <c r="I22" s="20">
        <f>I21+Table145[[#This Row],[مبلغ ورود]]-Table145[[#This Row],[مبلغ خروج]]</f>
        <v>1764686674</v>
      </c>
    </row>
    <row r="23" spans="1:9" ht="21">
      <c r="A23" s="1">
        <v>20</v>
      </c>
      <c r="B23" s="261" t="s">
        <v>2456</v>
      </c>
      <c r="C23" s="317"/>
      <c r="D23" s="19" t="s">
        <v>938</v>
      </c>
      <c r="F23" s="74" t="s">
        <v>2457</v>
      </c>
      <c r="G23" s="73">
        <v>10000000000</v>
      </c>
      <c r="I23" s="20">
        <f>I22+Table145[[#This Row],[مبلغ ورود]]-Table145[[#This Row],[مبلغ خروج]]</f>
        <v>11764686674</v>
      </c>
    </row>
    <row r="24" spans="1:9" ht="21">
      <c r="A24" s="1">
        <v>21</v>
      </c>
      <c r="B24" s="261" t="s">
        <v>2456</v>
      </c>
      <c r="C24" s="317"/>
      <c r="D24" s="19" t="s">
        <v>938</v>
      </c>
      <c r="F24" s="74" t="s">
        <v>2458</v>
      </c>
      <c r="G24" s="326"/>
      <c r="H24" s="20">
        <f>216000+138000+216000+18000</f>
        <v>588000</v>
      </c>
      <c r="I24" s="20">
        <f>I23+Table145[[#This Row],[مبلغ ورود]]-Table145[[#This Row],[مبلغ خروج]]</f>
        <v>11764098674</v>
      </c>
    </row>
    <row r="25" spans="1:9" ht="21">
      <c r="A25" s="1">
        <v>22</v>
      </c>
      <c r="B25" s="261" t="s">
        <v>2459</v>
      </c>
      <c r="C25" s="317"/>
      <c r="D25" s="19" t="s">
        <v>938</v>
      </c>
      <c r="F25" s="74" t="s">
        <v>2460</v>
      </c>
      <c r="G25" s="326"/>
      <c r="H25" s="327">
        <v>420000</v>
      </c>
      <c r="I25" s="220">
        <f>I24+Table145[[#This Row],[مبلغ ورود]]-Table145[[#This Row],[مبلغ خروج]]</f>
        <v>11763678674</v>
      </c>
    </row>
    <row r="26" spans="1:9" ht="21">
      <c r="A26" s="1">
        <v>23</v>
      </c>
      <c r="B26" s="261" t="s">
        <v>2462</v>
      </c>
      <c r="C26" s="317"/>
      <c r="D26" s="19" t="s">
        <v>938</v>
      </c>
      <c r="F26" s="197" t="s">
        <v>2461</v>
      </c>
      <c r="G26" s="326">
        <v>45660129</v>
      </c>
      <c r="I26" s="20">
        <f>I25+Table145[[#This Row],[مبلغ ورود]]-Table145[[#This Row],[مبلغ خروج]]</f>
        <v>11809338803</v>
      </c>
    </row>
    <row r="27" spans="1:9" ht="21">
      <c r="A27" s="1">
        <v>24</v>
      </c>
      <c r="B27" s="261" t="s">
        <v>2459</v>
      </c>
      <c r="C27" s="317"/>
      <c r="D27" s="19" t="s">
        <v>938</v>
      </c>
      <c r="F27" s="265" t="s">
        <v>1990</v>
      </c>
      <c r="G27" s="326"/>
      <c r="H27" s="20">
        <v>10000</v>
      </c>
      <c r="I27" s="20">
        <f>I26+Table145[[#This Row],[مبلغ ورود]]-Table145[[#This Row],[مبلغ خروج]]</f>
        <v>11809328803</v>
      </c>
    </row>
    <row r="28" spans="1:9" ht="21">
      <c r="A28" s="1">
        <v>25</v>
      </c>
      <c r="B28" s="261" t="s">
        <v>2464</v>
      </c>
      <c r="C28" s="328"/>
      <c r="D28" s="19" t="s">
        <v>938</v>
      </c>
      <c r="F28" s="74" t="s">
        <v>2463</v>
      </c>
      <c r="G28" s="327">
        <v>26133023</v>
      </c>
      <c r="I28" s="20">
        <f>I27+Table145[[#This Row],[مبلغ ورود]]-Table145[[#This Row],[مبلغ خروج]]</f>
        <v>11835461826</v>
      </c>
    </row>
    <row r="29" spans="1:9" ht="21">
      <c r="A29" s="1">
        <v>26</v>
      </c>
      <c r="B29" s="261" t="s">
        <v>2464</v>
      </c>
      <c r="C29" s="317"/>
      <c r="D29" s="19" t="s">
        <v>938</v>
      </c>
      <c r="F29" s="74" t="s">
        <v>2465</v>
      </c>
      <c r="G29" s="326">
        <v>50000000000</v>
      </c>
      <c r="I29" s="20">
        <f>I28+Table145[[#This Row],[مبلغ ورود]]-Table145[[#This Row],[مبلغ خروج]]</f>
        <v>61835461826</v>
      </c>
    </row>
    <row r="30" spans="1:9" ht="21">
      <c r="A30" s="1">
        <v>27</v>
      </c>
      <c r="B30" s="261" t="s">
        <v>2466</v>
      </c>
      <c r="C30" s="317" t="s">
        <v>2467</v>
      </c>
      <c r="D30" s="19" t="s">
        <v>938</v>
      </c>
      <c r="E30" s="274" t="s">
        <v>2468</v>
      </c>
      <c r="F30" s="74" t="s">
        <v>2469</v>
      </c>
      <c r="G30" s="326"/>
      <c r="H30" s="20">
        <v>1374395353</v>
      </c>
      <c r="I30" s="20">
        <f>I29+Table145[[#This Row],[مبلغ ورود]]-Table145[[#This Row],[مبلغ خروج]]</f>
        <v>60461066473</v>
      </c>
    </row>
    <row r="31" spans="1:9" ht="21">
      <c r="A31" s="1">
        <v>28</v>
      </c>
      <c r="B31" s="261" t="s">
        <v>2466</v>
      </c>
      <c r="C31" s="317" t="s">
        <v>2471</v>
      </c>
      <c r="D31" s="19" t="s">
        <v>938</v>
      </c>
      <c r="E31" s="274" t="s">
        <v>2472</v>
      </c>
      <c r="F31" s="74" t="s">
        <v>2470</v>
      </c>
      <c r="H31" s="20">
        <v>712573649</v>
      </c>
      <c r="I31" s="20">
        <f>I30+Table145[[#This Row],[مبلغ ورود]]-Table145[[#This Row],[مبلغ خروج]]</f>
        <v>59748492824</v>
      </c>
    </row>
    <row r="32" spans="1:9" ht="21">
      <c r="A32" s="1">
        <v>29</v>
      </c>
      <c r="B32" s="261" t="s">
        <v>2466</v>
      </c>
      <c r="C32" s="317" t="s">
        <v>2473</v>
      </c>
      <c r="D32" s="19" t="s">
        <v>938</v>
      </c>
      <c r="E32" s="274" t="s">
        <v>2475</v>
      </c>
      <c r="F32" s="74" t="s">
        <v>2474</v>
      </c>
      <c r="G32" s="326"/>
      <c r="H32" s="20">
        <v>5000000000</v>
      </c>
      <c r="I32" s="20">
        <f>I31+Table145[[#This Row],[مبلغ ورود]]-Table145[[#This Row],[مبلغ خروج]]</f>
        <v>54748492824</v>
      </c>
    </row>
    <row r="33" spans="1:9" ht="21">
      <c r="A33" s="1">
        <v>30</v>
      </c>
      <c r="B33" s="261" t="s">
        <v>2466</v>
      </c>
      <c r="C33" s="317"/>
      <c r="D33" s="19" t="s">
        <v>938</v>
      </c>
      <c r="F33" s="74" t="s">
        <v>2476</v>
      </c>
      <c r="G33" s="326">
        <v>1190474704</v>
      </c>
      <c r="I33" s="20">
        <f>I32+Table145[[#This Row],[مبلغ ورود]]-Table145[[#This Row],[مبلغ خروج]]</f>
        <v>55938967528</v>
      </c>
    </row>
    <row r="34" spans="1:9" ht="21">
      <c r="A34" s="1">
        <v>31</v>
      </c>
      <c r="B34" s="261" t="s">
        <v>2478</v>
      </c>
      <c r="C34" s="317"/>
      <c r="D34" s="19" t="s">
        <v>938</v>
      </c>
      <c r="F34" s="74" t="s">
        <v>2477</v>
      </c>
      <c r="G34" s="219">
        <v>3992500</v>
      </c>
      <c r="I34" s="20">
        <f>I33+Table145[[#This Row],[مبلغ ورود]]-Table145[[#This Row],[مبلغ خروج]]</f>
        <v>55942960028</v>
      </c>
    </row>
    <row r="35" spans="1:9" ht="21">
      <c r="A35" s="1">
        <v>32</v>
      </c>
      <c r="B35" s="261" t="s">
        <v>2466</v>
      </c>
      <c r="C35" s="317"/>
      <c r="D35" s="19" t="s">
        <v>938</v>
      </c>
      <c r="F35" s="74" t="s">
        <v>2479</v>
      </c>
      <c r="H35" s="20">
        <f>3000+6000+3000+3000</f>
        <v>15000</v>
      </c>
      <c r="I35" s="20">
        <f>I34+Table145[[#This Row],[مبلغ ورود]]-Table145[[#This Row],[مبلغ خروج]]</f>
        <v>55942945028</v>
      </c>
    </row>
    <row r="36" spans="1:9" ht="37.5">
      <c r="A36" s="1">
        <v>33</v>
      </c>
      <c r="B36" s="261" t="s">
        <v>2481</v>
      </c>
      <c r="C36" s="317" t="s">
        <v>2482</v>
      </c>
      <c r="D36" s="19" t="s">
        <v>938</v>
      </c>
      <c r="E36" s="274" t="s">
        <v>2484</v>
      </c>
      <c r="F36" s="74" t="s">
        <v>2480</v>
      </c>
      <c r="H36" s="20">
        <v>18104634977</v>
      </c>
      <c r="I36" s="20">
        <f>I35+Table145[[#This Row],[مبلغ ورود]]-Table145[[#This Row],[مبلغ خروج]]</f>
        <v>37838310051</v>
      </c>
    </row>
    <row r="37" spans="1:9" ht="37.5">
      <c r="A37" s="1">
        <v>34</v>
      </c>
      <c r="B37" s="261" t="s">
        <v>2481</v>
      </c>
      <c r="C37" s="317" t="s">
        <v>2483</v>
      </c>
      <c r="D37" s="19" t="s">
        <v>938</v>
      </c>
      <c r="E37" s="274" t="s">
        <v>2485</v>
      </c>
      <c r="F37" s="74" t="s">
        <v>2486</v>
      </c>
      <c r="H37" s="20">
        <v>25700000000</v>
      </c>
      <c r="I37" s="20">
        <f>I36+Table145[[#This Row],[مبلغ ورود]]-Table145[[#This Row],[مبلغ خروج]]</f>
        <v>12138310051</v>
      </c>
    </row>
    <row r="38" spans="1:9" ht="21">
      <c r="A38" s="1">
        <v>35</v>
      </c>
      <c r="B38" s="261" t="s">
        <v>2487</v>
      </c>
      <c r="C38" s="317" t="s">
        <v>2488</v>
      </c>
      <c r="D38" s="19" t="s">
        <v>938</v>
      </c>
      <c r="E38" s="274" t="s">
        <v>2490</v>
      </c>
      <c r="F38" s="74" t="s">
        <v>2492</v>
      </c>
      <c r="H38" s="20">
        <v>140724698</v>
      </c>
      <c r="I38" s="20">
        <f>I37+Table145[[#This Row],[مبلغ ورود]]-Table145[[#This Row],[مبلغ خروج]]</f>
        <v>11997585353</v>
      </c>
    </row>
    <row r="39" spans="1:9" ht="21">
      <c r="A39" s="1">
        <v>36</v>
      </c>
      <c r="B39" s="261" t="s">
        <v>2487</v>
      </c>
      <c r="C39" s="317" t="s">
        <v>2489</v>
      </c>
      <c r="D39" s="19" t="s">
        <v>938</v>
      </c>
      <c r="E39" s="274" t="s">
        <v>2491</v>
      </c>
      <c r="F39" s="74" t="s">
        <v>2493</v>
      </c>
      <c r="H39" s="20">
        <v>543130423</v>
      </c>
      <c r="I39" s="20">
        <f>I38+Table145[[#This Row],[مبلغ ورود]]-Table145[[#This Row],[مبلغ خروج]]</f>
        <v>11454454930</v>
      </c>
    </row>
    <row r="40" spans="1:9" ht="37.5">
      <c r="A40" s="1">
        <v>37</v>
      </c>
      <c r="B40" s="261" t="s">
        <v>2487</v>
      </c>
      <c r="C40" s="317" t="s">
        <v>2494</v>
      </c>
      <c r="D40" s="19" t="s">
        <v>938</v>
      </c>
      <c r="E40" s="274" t="s">
        <v>2497</v>
      </c>
      <c r="F40" s="74" t="s">
        <v>2498</v>
      </c>
      <c r="H40" s="20">
        <v>100000000</v>
      </c>
      <c r="I40" s="20">
        <f>I39+Table145[[#This Row],[مبلغ ورود]]-Table145[[#This Row],[مبلغ خروج]]</f>
        <v>11354454930</v>
      </c>
    </row>
    <row r="41" spans="1:9" ht="56.25">
      <c r="A41" s="1">
        <v>38</v>
      </c>
      <c r="B41" s="261" t="s">
        <v>2487</v>
      </c>
      <c r="C41" s="317" t="s">
        <v>2495</v>
      </c>
      <c r="D41" s="19" t="s">
        <v>938</v>
      </c>
      <c r="E41" s="274" t="s">
        <v>2499</v>
      </c>
      <c r="F41" s="74" t="s">
        <v>2500</v>
      </c>
      <c r="H41" s="20">
        <v>101062160</v>
      </c>
      <c r="I41" s="20">
        <f>I40+Table145[[#This Row],[مبلغ ورود]]-Table145[[#This Row],[مبلغ خروج]]</f>
        <v>11253392770</v>
      </c>
    </row>
    <row r="42" spans="1:9" ht="21">
      <c r="A42" s="1">
        <v>39</v>
      </c>
      <c r="B42" s="261" t="s">
        <v>2502</v>
      </c>
      <c r="C42" s="317" t="s">
        <v>2496</v>
      </c>
      <c r="D42" s="19" t="s">
        <v>938</v>
      </c>
      <c r="E42" s="274" t="s">
        <v>2501</v>
      </c>
      <c r="F42" s="74" t="s">
        <v>2310</v>
      </c>
      <c r="H42" s="20">
        <v>4000000</v>
      </c>
      <c r="I42" s="20">
        <f>I41+Table145[[#This Row],[مبلغ ورود]]-Table145[[#This Row],[مبلغ خروج]]</f>
        <v>11249392770</v>
      </c>
    </row>
    <row r="43" spans="1:9" ht="21">
      <c r="A43" s="1">
        <v>40</v>
      </c>
      <c r="B43" s="261" t="s">
        <v>2502</v>
      </c>
      <c r="C43" s="317"/>
      <c r="D43" s="19" t="s">
        <v>938</v>
      </c>
      <c r="F43" s="74" t="s">
        <v>2503</v>
      </c>
      <c r="H43" s="20">
        <f>5700+4800</f>
        <v>10500</v>
      </c>
      <c r="I43" s="20">
        <f>I42+Table145[[#This Row],[مبلغ ورود]]-Table145[[#This Row],[مبلغ خروج]]</f>
        <v>11249382270</v>
      </c>
    </row>
    <row r="44" spans="1:9" ht="37.5">
      <c r="A44" s="1">
        <v>41</v>
      </c>
      <c r="B44" s="261" t="s">
        <v>2505</v>
      </c>
      <c r="C44" s="317" t="s">
        <v>2504</v>
      </c>
      <c r="D44" s="19" t="s">
        <v>938</v>
      </c>
      <c r="E44" s="274" t="s">
        <v>2506</v>
      </c>
      <c r="F44" s="74" t="s">
        <v>2507</v>
      </c>
      <c r="H44" s="20">
        <v>1670532500</v>
      </c>
      <c r="I44" s="20">
        <f>I43+Table145[[#This Row],[مبلغ ورود]]-Table145[[#This Row],[مبلغ خروج]]</f>
        <v>9578849770</v>
      </c>
    </row>
    <row r="45" spans="1:9" ht="21">
      <c r="A45" s="1">
        <v>42</v>
      </c>
      <c r="B45" s="261" t="s">
        <v>2508</v>
      </c>
      <c r="C45" s="317"/>
      <c r="D45" s="19" t="s">
        <v>938</v>
      </c>
      <c r="F45" s="74" t="s">
        <v>1180</v>
      </c>
      <c r="G45" s="73">
        <v>50000000000</v>
      </c>
      <c r="I45" s="20">
        <f>I44+Table145[[#This Row],[مبلغ ورود]]-Table145[[#This Row],[مبلغ خروج]]</f>
        <v>59578849770</v>
      </c>
    </row>
    <row r="46" spans="1:9" ht="37.5">
      <c r="A46" s="1">
        <v>43</v>
      </c>
      <c r="B46" s="261" t="s">
        <v>2508</v>
      </c>
      <c r="C46" s="317" t="s">
        <v>2509</v>
      </c>
      <c r="D46" s="19" t="s">
        <v>938</v>
      </c>
      <c r="E46" s="274" t="s">
        <v>2510</v>
      </c>
      <c r="F46" s="74" t="s">
        <v>2511</v>
      </c>
      <c r="H46" s="20">
        <v>300000000</v>
      </c>
      <c r="I46" s="20">
        <f>I45+Table145[[#This Row],[مبلغ ورود]]-Table145[[#This Row],[مبلغ خروج]]</f>
        <v>59278849770</v>
      </c>
    </row>
    <row r="47" spans="1:9" ht="21">
      <c r="A47" s="1">
        <v>44</v>
      </c>
      <c r="B47" s="261" t="s">
        <v>2508</v>
      </c>
      <c r="C47" s="317" t="s">
        <v>2512</v>
      </c>
      <c r="D47" s="19" t="s">
        <v>938</v>
      </c>
      <c r="E47" s="274" t="s">
        <v>2513</v>
      </c>
      <c r="F47" s="74" t="s">
        <v>2514</v>
      </c>
      <c r="H47" s="20">
        <v>80000000</v>
      </c>
      <c r="I47" s="20">
        <f>I46+Table145[[#This Row],[مبلغ ورود]]-Table145[[#This Row],[مبلغ خروج]]</f>
        <v>59198849770</v>
      </c>
    </row>
    <row r="48" spans="1:9" ht="21">
      <c r="A48" s="1">
        <v>45</v>
      </c>
      <c r="B48" s="261" t="s">
        <v>2515</v>
      </c>
      <c r="C48" s="317"/>
      <c r="D48" s="19" t="s">
        <v>938</v>
      </c>
      <c r="F48" s="74" t="s">
        <v>1180</v>
      </c>
      <c r="G48" s="73">
        <v>50000000000</v>
      </c>
      <c r="I48" s="20">
        <f>I47+Table145[[#This Row],[مبلغ ورود]]-Table145[[#This Row],[مبلغ خروج]]</f>
        <v>109198849770</v>
      </c>
    </row>
    <row r="49" spans="1:9" ht="37.5">
      <c r="A49" s="1">
        <v>46</v>
      </c>
      <c r="B49" s="261" t="s">
        <v>2518</v>
      </c>
      <c r="C49" s="317" t="s">
        <v>2516</v>
      </c>
      <c r="D49" s="19" t="s">
        <v>938</v>
      </c>
      <c r="E49" s="274" t="s">
        <v>2519</v>
      </c>
      <c r="F49" s="74" t="s">
        <v>2521</v>
      </c>
      <c r="H49" s="20">
        <v>14885718500</v>
      </c>
      <c r="I49" s="20">
        <f>I48+Table145[[#This Row],[مبلغ ورود]]-Table145[[#This Row],[مبلغ خروج]]</f>
        <v>94313131270</v>
      </c>
    </row>
    <row r="50" spans="1:9" ht="21">
      <c r="A50" s="1">
        <v>47</v>
      </c>
      <c r="B50" s="261" t="s">
        <v>2522</v>
      </c>
      <c r="C50" s="317"/>
      <c r="D50" s="19" t="s">
        <v>938</v>
      </c>
      <c r="F50" s="74" t="s">
        <v>1561</v>
      </c>
      <c r="H50" s="20">
        <v>250000</v>
      </c>
      <c r="I50" s="20">
        <f>I49+Table145[[#This Row],[مبلغ ورود]]-Table145[[#This Row],[مبلغ خروج]]</f>
        <v>94312881270</v>
      </c>
    </row>
    <row r="51" spans="1:9" ht="37.5">
      <c r="A51" s="1">
        <v>48</v>
      </c>
      <c r="B51" s="261" t="s">
        <v>2523</v>
      </c>
      <c r="C51" s="317" t="s">
        <v>2517</v>
      </c>
      <c r="D51" s="19" t="s">
        <v>938</v>
      </c>
      <c r="E51" s="274" t="s">
        <v>2520</v>
      </c>
      <c r="F51" s="74" t="s">
        <v>2524</v>
      </c>
      <c r="H51" s="20">
        <v>22515912000</v>
      </c>
      <c r="I51" s="20">
        <f>I50+Table145[[#This Row],[مبلغ ورود]]-Table145[[#This Row],[مبلغ خروج]]</f>
        <v>71796969270</v>
      </c>
    </row>
    <row r="52" spans="1:9" ht="21">
      <c r="A52" s="1">
        <v>49</v>
      </c>
      <c r="B52" s="261" t="s">
        <v>2526</v>
      </c>
      <c r="C52" s="317"/>
      <c r="D52" s="19" t="s">
        <v>938</v>
      </c>
      <c r="F52" s="74" t="s">
        <v>2525</v>
      </c>
      <c r="G52" s="73">
        <v>95118041</v>
      </c>
      <c r="I52" s="20">
        <f>I51+Table145[[#This Row],[مبلغ ورود]]-Table145[[#This Row],[مبلغ خروج]]</f>
        <v>71892087311</v>
      </c>
    </row>
    <row r="53" spans="1:9" ht="21">
      <c r="A53" s="1">
        <v>50</v>
      </c>
      <c r="B53" s="261" t="s">
        <v>2526</v>
      </c>
      <c r="C53" s="317" t="s">
        <v>2527</v>
      </c>
      <c r="D53" s="19" t="s">
        <v>938</v>
      </c>
      <c r="E53" s="274" t="s">
        <v>2528</v>
      </c>
      <c r="F53" s="74" t="s">
        <v>1838</v>
      </c>
      <c r="H53" s="20">
        <v>15000000000</v>
      </c>
      <c r="I53" s="20">
        <f>I52+Table145[[#This Row],[مبلغ ورود]]-Table145[[#This Row],[مبلغ خروج]]</f>
        <v>56892087311</v>
      </c>
    </row>
    <row r="54" spans="1:9" ht="21">
      <c r="A54" s="1">
        <v>51</v>
      </c>
      <c r="B54" s="261" t="s">
        <v>2539</v>
      </c>
      <c r="C54" s="317" t="s">
        <v>2529</v>
      </c>
      <c r="D54" s="19" t="s">
        <v>938</v>
      </c>
      <c r="E54" s="274" t="s">
        <v>2532</v>
      </c>
      <c r="F54" s="74" t="s">
        <v>2536</v>
      </c>
      <c r="H54" s="20">
        <v>1166212035</v>
      </c>
      <c r="I54" s="20">
        <f>I53+Table145[[#This Row],[مبلغ ورود]]-Table145[[#This Row],[مبلغ خروج]]</f>
        <v>55725875276</v>
      </c>
    </row>
    <row r="55" spans="1:9" ht="21">
      <c r="A55" s="1">
        <v>52</v>
      </c>
      <c r="B55" s="261" t="s">
        <v>2539</v>
      </c>
      <c r="C55" s="317" t="s">
        <v>2530</v>
      </c>
      <c r="D55" s="19" t="s">
        <v>938</v>
      </c>
      <c r="E55" s="274" t="s">
        <v>2533</v>
      </c>
      <c r="F55" s="74" t="s">
        <v>2537</v>
      </c>
      <c r="H55" s="20">
        <v>377158875</v>
      </c>
      <c r="I55" s="20">
        <f>I54+Table145[[#This Row],[مبلغ ورود]]-Table145[[#This Row],[مبلغ خروج]]</f>
        <v>55348716401</v>
      </c>
    </row>
    <row r="56" spans="1:9" ht="21">
      <c r="A56" s="1">
        <v>53</v>
      </c>
      <c r="B56" s="261" t="s">
        <v>2539</v>
      </c>
      <c r="C56" s="317" t="s">
        <v>2531</v>
      </c>
      <c r="D56" s="19" t="s">
        <v>938</v>
      </c>
      <c r="E56" s="274" t="s">
        <v>2534</v>
      </c>
      <c r="F56" s="74" t="s">
        <v>2538</v>
      </c>
      <c r="H56" s="20">
        <v>5000000000</v>
      </c>
      <c r="I56" s="20">
        <f>I55+Table145[[#This Row],[مبلغ ورود]]-Table145[[#This Row],[مبلغ خروج]]</f>
        <v>50348716401</v>
      </c>
    </row>
    <row r="57" spans="1:9" ht="37.5">
      <c r="A57" s="1">
        <v>54</v>
      </c>
      <c r="B57" s="261" t="s">
        <v>2539</v>
      </c>
      <c r="C57" s="317" t="s">
        <v>2540</v>
      </c>
      <c r="D57" s="19" t="s">
        <v>938</v>
      </c>
      <c r="E57" s="274" t="s">
        <v>2535</v>
      </c>
      <c r="F57" s="74" t="s">
        <v>2541</v>
      </c>
      <c r="H57" s="20">
        <v>12037403732</v>
      </c>
      <c r="I57" s="20">
        <f>I56+Table145[[#This Row],[مبلغ ورود]]-Table145[[#This Row],[مبلغ خروج]]</f>
        <v>38311312669</v>
      </c>
    </row>
    <row r="58" spans="1:9" ht="21">
      <c r="A58" s="1">
        <v>55</v>
      </c>
      <c r="B58" s="261" t="s">
        <v>2542</v>
      </c>
      <c r="C58" s="317"/>
      <c r="D58" s="19" t="s">
        <v>938</v>
      </c>
      <c r="F58" s="74" t="s">
        <v>2457</v>
      </c>
      <c r="G58" s="73">
        <v>15000000000</v>
      </c>
      <c r="I58" s="20">
        <f>I57+Table145[[#This Row],[مبلغ ورود]]-Table145[[#This Row],[مبلغ خروج]]</f>
        <v>53311312669</v>
      </c>
    </row>
    <row r="59" spans="1:9" ht="21">
      <c r="A59" s="1">
        <v>56</v>
      </c>
      <c r="B59" s="261" t="s">
        <v>2539</v>
      </c>
      <c r="C59" s="332"/>
      <c r="D59" s="19" t="s">
        <v>938</v>
      </c>
      <c r="F59" s="74" t="s">
        <v>2543</v>
      </c>
      <c r="G59" s="20"/>
      <c r="H59" s="20">
        <f>6000+8700</f>
        <v>14700</v>
      </c>
      <c r="I59" s="20">
        <f>I58+Table145[[#This Row],[مبلغ ورود]]-Table145[[#This Row],[مبلغ خروج]]</f>
        <v>53311297969</v>
      </c>
    </row>
    <row r="60" spans="1:9" ht="21">
      <c r="A60" s="1">
        <v>57</v>
      </c>
      <c r="B60" s="261" t="s">
        <v>2547</v>
      </c>
      <c r="C60" s="332"/>
      <c r="D60" s="19" t="s">
        <v>938</v>
      </c>
      <c r="F60" s="74" t="s">
        <v>2544</v>
      </c>
      <c r="G60" s="20">
        <v>1252638367</v>
      </c>
      <c r="I60" s="20">
        <f>I59+Table145[[#This Row],[مبلغ ورود]]-Table145[[#This Row],[مبلغ خروج]]</f>
        <v>54563936336</v>
      </c>
    </row>
    <row r="61" spans="1:9" ht="21">
      <c r="A61" s="1">
        <v>58</v>
      </c>
      <c r="B61" s="261" t="s">
        <v>2546</v>
      </c>
      <c r="C61" s="332"/>
      <c r="D61" s="19" t="s">
        <v>938</v>
      </c>
      <c r="F61" s="74" t="s">
        <v>2545</v>
      </c>
      <c r="G61" s="20">
        <v>150000000000</v>
      </c>
      <c r="I61" s="20">
        <f>I60+Table145[[#This Row],[مبلغ ورود]]-Table145[[#This Row],[مبلغ خروج]]</f>
        <v>204563936336</v>
      </c>
    </row>
    <row r="62" spans="1:9" ht="21">
      <c r="A62" s="1">
        <v>59</v>
      </c>
      <c r="B62" s="261" t="s">
        <v>2546</v>
      </c>
      <c r="C62" s="332"/>
      <c r="D62" s="19" t="s">
        <v>938</v>
      </c>
      <c r="F62" s="74" t="s">
        <v>1584</v>
      </c>
      <c r="G62" s="333"/>
      <c r="H62" s="20">
        <v>60000</v>
      </c>
      <c r="I62" s="20">
        <f>I61+Table145[[#This Row],[مبلغ ورود]]-Table145[[#This Row],[مبلغ خروج]]</f>
        <v>204563876336</v>
      </c>
    </row>
    <row r="63" spans="1:9" ht="21">
      <c r="A63" s="1">
        <v>60</v>
      </c>
      <c r="B63" s="261" t="s">
        <v>2547</v>
      </c>
      <c r="C63" s="332"/>
      <c r="D63" s="19" t="s">
        <v>938</v>
      </c>
      <c r="F63" s="74" t="s">
        <v>2548</v>
      </c>
      <c r="G63" s="333"/>
      <c r="H63" s="20">
        <v>12000</v>
      </c>
      <c r="I63" s="20">
        <f>I62+Table145[[#This Row],[مبلغ ورود]]-Table145[[#This Row],[مبلغ خروج]]</f>
        <v>204563864336</v>
      </c>
    </row>
    <row r="64" spans="1:9" ht="21">
      <c r="A64" s="1">
        <v>61</v>
      </c>
      <c r="B64" s="261" t="s">
        <v>2553</v>
      </c>
      <c r="C64" s="332"/>
      <c r="D64" s="19" t="s">
        <v>938</v>
      </c>
      <c r="F64" s="74" t="s">
        <v>1180</v>
      </c>
      <c r="G64" s="20">
        <v>50000000000</v>
      </c>
      <c r="I64" s="20">
        <f>I63+Table145[[#This Row],[مبلغ ورود]]-Table145[[#This Row],[مبلغ خروج]]</f>
        <v>254563864336</v>
      </c>
    </row>
    <row r="65" spans="1:9" ht="37.5">
      <c r="A65" s="1">
        <v>62</v>
      </c>
      <c r="B65" s="261" t="s">
        <v>2549</v>
      </c>
      <c r="C65" s="317" t="s">
        <v>2552</v>
      </c>
      <c r="D65" s="19" t="s">
        <v>938</v>
      </c>
      <c r="E65" s="274" t="s">
        <v>2550</v>
      </c>
      <c r="F65" s="74" t="s">
        <v>2551</v>
      </c>
      <c r="G65" s="333"/>
      <c r="H65" s="20">
        <v>1768616590</v>
      </c>
      <c r="I65" s="20">
        <f>I64+Table145[[#This Row],[مبلغ ورود]]-Table145[[#This Row],[مبلغ خروج]]</f>
        <v>252795247746</v>
      </c>
    </row>
    <row r="66" spans="1:9" ht="21">
      <c r="A66" s="1">
        <v>63</v>
      </c>
      <c r="B66" s="261" t="s">
        <v>2555</v>
      </c>
      <c r="C66" s="317" t="s">
        <v>2557</v>
      </c>
      <c r="D66" s="19" t="s">
        <v>938</v>
      </c>
      <c r="E66" s="274" t="s">
        <v>2558</v>
      </c>
      <c r="F66" s="74" t="s">
        <v>2359</v>
      </c>
      <c r="G66" s="333"/>
      <c r="H66" s="334">
        <v>26608650</v>
      </c>
      <c r="I66" s="20">
        <f>I65+Table145[[#This Row],[مبلغ ورود]]-Table145[[#This Row],[مبلغ خروج]]</f>
        <v>252768639096</v>
      </c>
    </row>
    <row r="67" spans="1:9" ht="21">
      <c r="A67" s="1">
        <v>64</v>
      </c>
      <c r="B67" s="261" t="s">
        <v>2549</v>
      </c>
      <c r="C67" s="332"/>
      <c r="D67" s="19" t="s">
        <v>938</v>
      </c>
      <c r="F67" s="74" t="s">
        <v>2457</v>
      </c>
      <c r="G67" s="20">
        <v>10000000000</v>
      </c>
      <c r="I67" s="20">
        <f>I66+Table145[[#This Row],[مبلغ ورود]]-Table145[[#This Row],[مبلغ خروج]]</f>
        <v>262768639096</v>
      </c>
    </row>
    <row r="68" spans="1:9" ht="21">
      <c r="A68" s="1">
        <v>65</v>
      </c>
      <c r="B68" s="261" t="s">
        <v>2555</v>
      </c>
      <c r="C68" s="332"/>
      <c r="D68" s="19" t="s">
        <v>938</v>
      </c>
      <c r="F68" s="74" t="s">
        <v>2457</v>
      </c>
      <c r="G68" s="20">
        <v>10000000000</v>
      </c>
      <c r="I68" s="20">
        <f>I67+Table145[[#This Row],[مبلغ ورود]]-Table145[[#This Row],[مبلغ خروج]]</f>
        <v>272768639096</v>
      </c>
    </row>
    <row r="69" spans="1:9" ht="21">
      <c r="A69" s="1">
        <v>66</v>
      </c>
      <c r="B69" s="261" t="s">
        <v>2555</v>
      </c>
      <c r="C69" s="332"/>
      <c r="D69" s="19" t="s">
        <v>938</v>
      </c>
      <c r="F69" s="74" t="s">
        <v>2457</v>
      </c>
      <c r="G69" s="20">
        <v>673320357</v>
      </c>
      <c r="I69" s="20">
        <f>I68+Table145[[#This Row],[مبلغ ورود]]-Table145[[#This Row],[مبلغ خروج]]</f>
        <v>273441959453</v>
      </c>
    </row>
    <row r="70" spans="1:9" ht="37.5">
      <c r="A70" s="1">
        <v>67</v>
      </c>
      <c r="B70" s="261" t="s">
        <v>2555</v>
      </c>
      <c r="C70" s="317" t="s">
        <v>2559</v>
      </c>
      <c r="D70" s="19" t="s">
        <v>938</v>
      </c>
      <c r="E70" s="274" t="s">
        <v>2560</v>
      </c>
      <c r="F70" s="74" t="s">
        <v>2561</v>
      </c>
      <c r="G70" s="333"/>
      <c r="H70" s="334">
        <v>4761200000</v>
      </c>
      <c r="I70" s="20">
        <f>I69+Table145[[#This Row],[مبلغ ورود]]-Table145[[#This Row],[مبلغ خروج]]</f>
        <v>268680759453</v>
      </c>
    </row>
    <row r="71" spans="1:9" ht="37.5">
      <c r="A71" s="1">
        <v>68</v>
      </c>
      <c r="B71" s="261" t="s">
        <v>2565</v>
      </c>
      <c r="C71" s="317" t="s">
        <v>2562</v>
      </c>
      <c r="D71" s="19" t="s">
        <v>938</v>
      </c>
      <c r="E71" s="274" t="s">
        <v>2566</v>
      </c>
      <c r="F71" s="74" t="s">
        <v>2449</v>
      </c>
      <c r="G71" s="333"/>
      <c r="H71" s="20">
        <v>100000000000</v>
      </c>
      <c r="I71" s="20">
        <f>I70+Table145[[#This Row],[مبلغ ورود]]-Table145[[#This Row],[مبلغ خروج]]</f>
        <v>168680759453</v>
      </c>
    </row>
    <row r="72" spans="1:9" ht="37.5">
      <c r="A72" s="1">
        <v>69</v>
      </c>
      <c r="B72" s="261" t="s">
        <v>2570</v>
      </c>
      <c r="C72" s="317" t="s">
        <v>2563</v>
      </c>
      <c r="D72" s="19" t="s">
        <v>938</v>
      </c>
      <c r="E72" s="274" t="s">
        <v>2567</v>
      </c>
      <c r="F72" s="74" t="s">
        <v>2569</v>
      </c>
      <c r="G72" s="333"/>
      <c r="H72" s="20">
        <v>52671590400</v>
      </c>
      <c r="I72" s="20">
        <f>I71+Table145[[#This Row],[مبلغ ورود]]-Table145[[#This Row],[مبلغ خروج]]</f>
        <v>116009169053</v>
      </c>
    </row>
    <row r="73" spans="1:9" ht="37.5">
      <c r="A73" s="1">
        <v>70</v>
      </c>
      <c r="B73" s="261" t="s">
        <v>2570</v>
      </c>
      <c r="C73" s="317" t="s">
        <v>2564</v>
      </c>
      <c r="D73" s="19" t="s">
        <v>938</v>
      </c>
      <c r="E73" s="274" t="s">
        <v>2568</v>
      </c>
      <c r="F73" s="74" t="s">
        <v>2571</v>
      </c>
      <c r="G73" s="333"/>
      <c r="H73" s="20">
        <v>4450000000</v>
      </c>
      <c r="I73" s="20">
        <f>I72+Table145[[#This Row],[مبلغ ورود]]-Table145[[#This Row],[مبلغ خروج]]</f>
        <v>111559169053</v>
      </c>
    </row>
    <row r="74" spans="1:9" ht="21">
      <c r="A74" s="335">
        <v>71</v>
      </c>
      <c r="B74" s="336" t="s">
        <v>2570</v>
      </c>
      <c r="C74" s="317" t="s">
        <v>2572</v>
      </c>
      <c r="D74" s="19" t="s">
        <v>938</v>
      </c>
      <c r="E74" s="274" t="s">
        <v>2573</v>
      </c>
      <c r="F74" s="74" t="s">
        <v>2586</v>
      </c>
      <c r="G74" s="333"/>
      <c r="H74" s="20">
        <v>0</v>
      </c>
      <c r="I74" s="20">
        <f>I73+Table145[[#This Row],[مبلغ ورود]]-Table145[[#This Row],[مبلغ خروج]]</f>
        <v>111559169053</v>
      </c>
    </row>
    <row r="75" spans="1:9" ht="21">
      <c r="A75" s="335">
        <v>72</v>
      </c>
      <c r="B75" s="261" t="s">
        <v>2570</v>
      </c>
      <c r="C75" s="332"/>
      <c r="D75" s="19" t="s">
        <v>938</v>
      </c>
      <c r="F75" s="74" t="s">
        <v>1561</v>
      </c>
      <c r="G75" s="333"/>
      <c r="H75" s="20">
        <v>250000</v>
      </c>
      <c r="I75" s="20">
        <f>I74+Table145[[#This Row],[مبلغ ورود]]-Table145[[#This Row],[مبلغ خروج]]</f>
        <v>111558919053</v>
      </c>
    </row>
    <row r="76" spans="1:9" ht="21">
      <c r="A76" s="335">
        <v>73</v>
      </c>
      <c r="B76" s="336" t="s">
        <v>2574</v>
      </c>
      <c r="C76" s="338"/>
      <c r="D76" s="19" t="s">
        <v>938</v>
      </c>
      <c r="F76" s="74" t="s">
        <v>2457</v>
      </c>
      <c r="G76" s="20">
        <v>100000000000</v>
      </c>
      <c r="I76" s="20">
        <f>I75+Table145[[#This Row],[مبلغ ورود]]-Table145[[#This Row],[مبلغ خروج]]</f>
        <v>211558919053</v>
      </c>
    </row>
    <row r="77" spans="1:9" ht="21">
      <c r="A77" s="335">
        <v>74</v>
      </c>
      <c r="B77" s="261" t="s">
        <v>2574</v>
      </c>
      <c r="C77" s="338"/>
      <c r="D77" s="19" t="s">
        <v>938</v>
      </c>
      <c r="F77" s="74" t="s">
        <v>1561</v>
      </c>
      <c r="G77" s="340"/>
      <c r="H77" s="20">
        <v>250000</v>
      </c>
      <c r="I77" s="20">
        <f>I76+Table145[[#This Row],[مبلغ ورود]]-Table145[[#This Row],[مبلغ خروج]]</f>
        <v>211558669053</v>
      </c>
    </row>
    <row r="78" spans="1:9" ht="21">
      <c r="A78" s="335">
        <v>75</v>
      </c>
      <c r="B78" s="261" t="s">
        <v>2577</v>
      </c>
      <c r="C78" s="338"/>
      <c r="D78" s="19" t="s">
        <v>938</v>
      </c>
      <c r="F78" s="74" t="s">
        <v>1180</v>
      </c>
      <c r="G78" s="340">
        <v>50000000000</v>
      </c>
      <c r="I78" s="20">
        <f>I77+Table145[[#This Row],[مبلغ ورود]]-Table145[[#This Row],[مبلغ خروج]]</f>
        <v>261558669053</v>
      </c>
    </row>
    <row r="79" spans="1:9" ht="21">
      <c r="A79" s="1"/>
      <c r="B79" s="261" t="s">
        <v>2577</v>
      </c>
      <c r="C79" s="317"/>
      <c r="D79" s="19" t="s">
        <v>938</v>
      </c>
      <c r="F79" s="74" t="s">
        <v>1990</v>
      </c>
      <c r="H79" s="20">
        <v>12000</v>
      </c>
      <c r="I79" s="20">
        <f>I78+Table145[[#This Row],[مبلغ ورود]]-Table145[[#This Row],[مبلغ خروج]]</f>
        <v>261558657053</v>
      </c>
    </row>
    <row r="80" spans="1:9" ht="37.5">
      <c r="A80" s="337">
        <v>77</v>
      </c>
      <c r="B80" s="261" t="s">
        <v>2578</v>
      </c>
      <c r="C80" s="317" t="s">
        <v>2579</v>
      </c>
      <c r="D80" s="19" t="s">
        <v>938</v>
      </c>
      <c r="E80" s="274" t="s">
        <v>2580</v>
      </c>
      <c r="F80" s="74" t="s">
        <v>2449</v>
      </c>
      <c r="G80" s="340"/>
      <c r="H80" s="20">
        <v>100000000000</v>
      </c>
      <c r="I80" s="20">
        <f>I79+Table145[[#This Row],[مبلغ ورود]]-Table145[[#This Row],[مبلغ خروج]]</f>
        <v>161558657053</v>
      </c>
    </row>
    <row r="81" spans="1:9" ht="37.5">
      <c r="A81" s="337">
        <v>78</v>
      </c>
      <c r="B81" s="261" t="s">
        <v>2583</v>
      </c>
      <c r="C81" s="317" t="s">
        <v>2582</v>
      </c>
      <c r="D81" s="339" t="s">
        <v>938</v>
      </c>
      <c r="E81" s="274" t="s">
        <v>2581</v>
      </c>
      <c r="F81" s="197" t="s">
        <v>2584</v>
      </c>
      <c r="G81" s="340"/>
      <c r="H81" s="20">
        <v>39789000000</v>
      </c>
      <c r="I81" s="20">
        <f>I80+Table145[[#This Row],[مبلغ ورود]]-Table145[[#This Row],[مبلغ خروج]]</f>
        <v>121769657053</v>
      </c>
    </row>
    <row r="82" spans="1:9" ht="21">
      <c r="A82" s="337">
        <v>79</v>
      </c>
      <c r="B82" s="261" t="s">
        <v>2577</v>
      </c>
      <c r="C82" s="338"/>
      <c r="D82" s="19" t="s">
        <v>938</v>
      </c>
      <c r="F82" s="197" t="s">
        <v>2457</v>
      </c>
      <c r="G82" s="340">
        <v>27000000000</v>
      </c>
      <c r="I82" s="20">
        <f>I81+Table145[[#This Row],[مبلغ ورود]]-Table145[[#This Row],[مبلغ خروج]]</f>
        <v>148769657053</v>
      </c>
    </row>
    <row r="83" spans="1:9" ht="21">
      <c r="A83" s="337">
        <v>80</v>
      </c>
      <c r="B83" s="261" t="s">
        <v>2585</v>
      </c>
      <c r="C83" s="338"/>
      <c r="D83" s="19" t="s">
        <v>938</v>
      </c>
      <c r="F83" s="74" t="s">
        <v>1180</v>
      </c>
      <c r="G83" s="340">
        <v>100000000000</v>
      </c>
      <c r="I83" s="20">
        <f>I82+Table145[[#This Row],[مبلغ ورود]]-Table145[[#This Row],[مبلغ خروج]]</f>
        <v>248769657053</v>
      </c>
    </row>
    <row r="84" spans="1:9" ht="21">
      <c r="A84" s="337">
        <v>81</v>
      </c>
      <c r="B84" s="261" t="s">
        <v>2585</v>
      </c>
      <c r="C84" s="342"/>
      <c r="D84" s="19" t="s">
        <v>938</v>
      </c>
      <c r="F84" s="74" t="s">
        <v>1180</v>
      </c>
      <c r="G84" s="20">
        <v>40000000000</v>
      </c>
      <c r="I84" s="20">
        <f>I83+Table145[[#This Row],[مبلغ ورود]]-Table145[[#This Row],[مبلغ خروج]]</f>
        <v>288769657053</v>
      </c>
    </row>
    <row r="85" spans="1:9" ht="21">
      <c r="A85" s="337">
        <v>82</v>
      </c>
      <c r="B85" s="261" t="s">
        <v>2585</v>
      </c>
      <c r="C85" s="317"/>
      <c r="D85" s="19" t="s">
        <v>938</v>
      </c>
      <c r="F85" s="74" t="s">
        <v>1561</v>
      </c>
      <c r="H85" s="20">
        <f>250000</f>
        <v>250000</v>
      </c>
      <c r="I85" s="20">
        <f>I84+Table145[[#This Row],[مبلغ ورود]]-Table145[[#This Row],[مبلغ خروج]]</f>
        <v>288769407053</v>
      </c>
    </row>
    <row r="86" spans="1:9" ht="21">
      <c r="A86" s="337">
        <v>83</v>
      </c>
      <c r="B86" s="261" t="s">
        <v>2594</v>
      </c>
      <c r="C86" s="317" t="s">
        <v>2590</v>
      </c>
      <c r="D86" s="19" t="s">
        <v>938</v>
      </c>
      <c r="E86" s="274" t="s">
        <v>2596</v>
      </c>
      <c r="F86" s="74" t="s">
        <v>2600</v>
      </c>
      <c r="G86" s="340"/>
      <c r="H86" s="20">
        <v>28354000</v>
      </c>
      <c r="I86" s="20">
        <f>I85+Table145[[#This Row],[مبلغ ورود]]-Table145[[#This Row],[مبلغ خروج]]</f>
        <v>288741053053</v>
      </c>
    </row>
    <row r="87" spans="1:9" ht="21">
      <c r="A87" s="337">
        <v>84</v>
      </c>
      <c r="B87" s="261" t="s">
        <v>2594</v>
      </c>
      <c r="C87" s="317" t="s">
        <v>2591</v>
      </c>
      <c r="D87" s="19" t="s">
        <v>938</v>
      </c>
      <c r="E87" s="274" t="s">
        <v>2597</v>
      </c>
      <c r="F87" s="74" t="s">
        <v>1838</v>
      </c>
      <c r="G87" s="340"/>
      <c r="H87" s="20">
        <v>50000000000</v>
      </c>
      <c r="I87" s="20">
        <f>I86+Table145[[#This Row],[مبلغ ورود]]-Table145[[#This Row],[مبلغ خروج]]</f>
        <v>238741053053</v>
      </c>
    </row>
    <row r="88" spans="1:9" ht="37.5">
      <c r="A88" s="337">
        <v>85</v>
      </c>
      <c r="B88" s="261" t="s">
        <v>2601</v>
      </c>
      <c r="C88" s="317" t="s">
        <v>2592</v>
      </c>
      <c r="D88" s="19" t="s">
        <v>938</v>
      </c>
      <c r="E88" s="274" t="s">
        <v>2598</v>
      </c>
      <c r="F88" s="74" t="s">
        <v>2602</v>
      </c>
      <c r="G88" s="340"/>
      <c r="H88" s="20">
        <v>2647392000</v>
      </c>
      <c r="I88" s="20">
        <f>I87+Table145[[#This Row],[مبلغ ورود]]-Table145[[#This Row],[مبلغ خروج]]</f>
        <v>236093661053</v>
      </c>
    </row>
    <row r="89" spans="1:9" ht="21">
      <c r="A89" s="337">
        <v>86</v>
      </c>
      <c r="B89" s="261" t="s">
        <v>2601</v>
      </c>
      <c r="C89" s="317" t="s">
        <v>2593</v>
      </c>
      <c r="D89" s="19" t="s">
        <v>938</v>
      </c>
      <c r="E89" s="274" t="s">
        <v>2599</v>
      </c>
      <c r="F89" s="197" t="s">
        <v>2589</v>
      </c>
      <c r="G89" s="333"/>
      <c r="H89" s="20">
        <v>5000000000</v>
      </c>
      <c r="I89" s="20">
        <f>I88+Table145[[#This Row],[مبلغ ورود]]-Table145[[#This Row],[مبلغ خروج]]</f>
        <v>231093661053</v>
      </c>
    </row>
    <row r="90" spans="1:9" ht="21">
      <c r="A90" s="337">
        <v>87</v>
      </c>
      <c r="B90" s="261" t="s">
        <v>2601</v>
      </c>
      <c r="C90" s="317" t="s">
        <v>2603</v>
      </c>
      <c r="D90" s="19" t="s">
        <v>938</v>
      </c>
      <c r="E90" s="274" t="s">
        <v>2605</v>
      </c>
      <c r="F90" s="197" t="s">
        <v>2587</v>
      </c>
      <c r="G90" s="343"/>
      <c r="H90" s="20">
        <v>1229889931</v>
      </c>
      <c r="I90" s="20">
        <f>I89+Table145[[#This Row],[مبلغ ورود]]-Table145[[#This Row],[مبلغ خروج]]</f>
        <v>229863771122</v>
      </c>
    </row>
    <row r="91" spans="1:9" ht="21">
      <c r="A91" s="337">
        <v>88</v>
      </c>
      <c r="B91" s="261" t="s">
        <v>2601</v>
      </c>
      <c r="C91" s="317" t="s">
        <v>2604</v>
      </c>
      <c r="D91" s="19" t="s">
        <v>938</v>
      </c>
      <c r="E91" s="274" t="s">
        <v>2606</v>
      </c>
      <c r="F91" s="197" t="s">
        <v>2588</v>
      </c>
      <c r="G91" s="343"/>
      <c r="H91" s="20">
        <v>389344598</v>
      </c>
      <c r="I91" s="20">
        <f>I90+Table145[[#This Row],[مبلغ ورود]]-Table145[[#This Row],[مبلغ خروج]]</f>
        <v>229474426524</v>
      </c>
    </row>
    <row r="92" spans="1:9" ht="37.5">
      <c r="A92" s="337">
        <v>89</v>
      </c>
      <c r="B92" s="261" t="s">
        <v>2601</v>
      </c>
      <c r="C92" s="317" t="s">
        <v>2607</v>
      </c>
      <c r="D92" s="19" t="s">
        <v>938</v>
      </c>
      <c r="E92" s="274" t="s">
        <v>2610</v>
      </c>
      <c r="F92" s="331" t="s">
        <v>2608</v>
      </c>
      <c r="G92" s="343"/>
      <c r="H92" s="20">
        <v>19303900</v>
      </c>
      <c r="I92" s="20">
        <f>I91+Table145[[#This Row],[مبلغ ورود]]-Table145[[#This Row],[مبلغ خروج]]</f>
        <v>229455122624</v>
      </c>
    </row>
    <row r="93" spans="1:9" ht="21">
      <c r="A93" s="337">
        <v>90</v>
      </c>
      <c r="B93" s="341" t="s">
        <v>2612</v>
      </c>
      <c r="C93" s="342"/>
      <c r="D93" s="19" t="s">
        <v>938</v>
      </c>
      <c r="F93" s="74" t="s">
        <v>2611</v>
      </c>
      <c r="G93" s="343">
        <v>427194453</v>
      </c>
      <c r="I93" s="20">
        <f>I92+Table145[[#This Row],[مبلغ ورود]]-Table145[[#This Row],[مبلغ خروج]]</f>
        <v>229882317077</v>
      </c>
    </row>
    <row r="94" spans="1:9" ht="21">
      <c r="A94" s="337">
        <v>91</v>
      </c>
      <c r="B94" s="341" t="s">
        <v>2613</v>
      </c>
      <c r="C94" s="342"/>
      <c r="D94" s="19" t="s">
        <v>938</v>
      </c>
      <c r="F94" s="74" t="s">
        <v>1180</v>
      </c>
      <c r="G94" s="343">
        <v>170000000000</v>
      </c>
      <c r="I94" s="20">
        <f>I93+Table145[[#This Row],[مبلغ ورود]]-Table145[[#This Row],[مبلغ خروج]]</f>
        <v>399882317077</v>
      </c>
    </row>
    <row r="95" spans="1:9" ht="37.5">
      <c r="A95" s="337">
        <v>92</v>
      </c>
      <c r="B95" s="261" t="s">
        <v>2613</v>
      </c>
      <c r="C95" s="317" t="s">
        <v>2614</v>
      </c>
      <c r="D95" s="19" t="s">
        <v>938</v>
      </c>
      <c r="E95" s="274" t="s">
        <v>2615</v>
      </c>
      <c r="F95" s="74" t="s">
        <v>2616</v>
      </c>
      <c r="G95" s="333"/>
      <c r="H95" s="20">
        <v>692689500</v>
      </c>
      <c r="I95" s="20">
        <f>I94+Table145[[#This Row],[مبلغ ورود]]-Table145[[#This Row],[مبلغ خروج]]</f>
        <v>399189627577</v>
      </c>
    </row>
    <row r="96" spans="1:9" ht="21">
      <c r="A96" s="344">
        <v>93</v>
      </c>
      <c r="B96" s="261" t="s">
        <v>2613</v>
      </c>
      <c r="C96" s="346"/>
      <c r="D96" s="19" t="s">
        <v>938</v>
      </c>
      <c r="F96" s="74" t="s">
        <v>2274</v>
      </c>
      <c r="G96" s="347"/>
      <c r="H96" s="20">
        <v>2000</v>
      </c>
      <c r="I96" s="20">
        <f>I95+Table145[[#This Row],[مبلغ ورود]]-Table145[[#This Row],[مبلغ خروج]]</f>
        <v>399189625577</v>
      </c>
    </row>
    <row r="97" spans="1:9" ht="37.5">
      <c r="A97" s="344">
        <v>94</v>
      </c>
      <c r="B97" s="261" t="s">
        <v>2618</v>
      </c>
      <c r="C97" s="317" t="s">
        <v>2619</v>
      </c>
      <c r="D97" s="19" t="s">
        <v>938</v>
      </c>
      <c r="E97" s="274" t="s">
        <v>2620</v>
      </c>
      <c r="F97" s="74" t="s">
        <v>2449</v>
      </c>
      <c r="G97" s="347"/>
      <c r="H97" s="20">
        <v>50000000000</v>
      </c>
      <c r="I97" s="20">
        <f>I96+Table145[[#This Row],[مبلغ ورود]]-Table145[[#This Row],[مبلغ خروج]]</f>
        <v>349189625577</v>
      </c>
    </row>
    <row r="98" spans="1:9" ht="21">
      <c r="A98" s="344">
        <v>95</v>
      </c>
      <c r="B98" s="345" t="s">
        <v>2621</v>
      </c>
      <c r="C98" s="346"/>
      <c r="D98" s="19" t="s">
        <v>938</v>
      </c>
      <c r="F98" s="74" t="s">
        <v>1561</v>
      </c>
      <c r="G98" s="347"/>
      <c r="H98" s="20">
        <f>138537+250000</f>
        <v>388537</v>
      </c>
      <c r="I98" s="20">
        <f>I97+Table145[[#This Row],[مبلغ ورود]]-Table145[[#This Row],[مبلغ خروج]]</f>
        <v>349189237040</v>
      </c>
    </row>
    <row r="99" spans="1:9" ht="21">
      <c r="A99" s="344">
        <v>96</v>
      </c>
      <c r="B99" s="345" t="s">
        <v>2623</v>
      </c>
      <c r="C99" s="346"/>
      <c r="D99" s="19" t="s">
        <v>938</v>
      </c>
      <c r="F99" s="74" t="s">
        <v>2622</v>
      </c>
      <c r="G99" s="347">
        <v>1252638367</v>
      </c>
      <c r="I99" s="20">
        <f>I98+Table145[[#This Row],[مبلغ ورود]]-Table145[[#This Row],[مبلغ خروج]]</f>
        <v>350441875407</v>
      </c>
    </row>
    <row r="100" spans="1:9" ht="21">
      <c r="A100" s="344">
        <v>97</v>
      </c>
      <c r="B100" s="261" t="s">
        <v>2624</v>
      </c>
      <c r="C100" s="346"/>
      <c r="D100" s="19" t="s">
        <v>938</v>
      </c>
      <c r="F100" s="74" t="s">
        <v>2457</v>
      </c>
      <c r="G100" s="347">
        <v>10900000000</v>
      </c>
      <c r="I100" s="20">
        <f>I99+Table145[[#This Row],[مبلغ ورود]]-Table145[[#This Row],[مبلغ خروج]]</f>
        <v>361341875407</v>
      </c>
    </row>
    <row r="101" spans="1:9" ht="21">
      <c r="A101" s="344">
        <v>98</v>
      </c>
      <c r="B101" s="261" t="s">
        <v>2625</v>
      </c>
      <c r="C101" s="346"/>
      <c r="D101" s="19" t="s">
        <v>938</v>
      </c>
      <c r="F101" s="74" t="s">
        <v>2457</v>
      </c>
      <c r="G101" s="347">
        <v>9100000000</v>
      </c>
      <c r="I101" s="20">
        <f>I100+Table145[[#This Row],[مبلغ ورود]]-Table145[[#This Row],[مبلغ خروج]]</f>
        <v>370441875407</v>
      </c>
    </row>
    <row r="102" spans="1:9" ht="37.5">
      <c r="A102" s="344">
        <v>99</v>
      </c>
      <c r="B102" s="261" t="s">
        <v>2625</v>
      </c>
      <c r="C102" s="317" t="s">
        <v>2626</v>
      </c>
      <c r="D102" s="19" t="s">
        <v>938</v>
      </c>
      <c r="E102" s="274" t="s">
        <v>2627</v>
      </c>
      <c r="F102" s="74" t="s">
        <v>2632</v>
      </c>
      <c r="G102" s="347"/>
      <c r="H102" s="20">
        <v>671189300</v>
      </c>
      <c r="I102" s="20">
        <f>I101+Table145[[#This Row],[مبلغ ورود]]-Table145[[#This Row],[مبلغ خروج]]</f>
        <v>369770686107</v>
      </c>
    </row>
    <row r="103" spans="1:9" ht="37.5">
      <c r="A103" s="344">
        <v>100</v>
      </c>
      <c r="B103" s="261" t="s">
        <v>2629</v>
      </c>
      <c r="C103" s="317" t="s">
        <v>2628</v>
      </c>
      <c r="D103" s="19" t="s">
        <v>938</v>
      </c>
      <c r="E103" s="274" t="s">
        <v>2630</v>
      </c>
      <c r="F103" s="74" t="s">
        <v>2631</v>
      </c>
      <c r="G103" s="347"/>
      <c r="H103" s="20">
        <v>49150150167</v>
      </c>
      <c r="I103" s="20">
        <f>I102+Table145[[#This Row],[مبلغ ورود]]-Table145[[#This Row],[مبلغ خروج]]</f>
        <v>320620535940</v>
      </c>
    </row>
    <row r="104" spans="1:9" ht="37.5">
      <c r="A104" s="344">
        <v>101</v>
      </c>
      <c r="B104" s="261" t="s">
        <v>2629</v>
      </c>
      <c r="C104" s="317" t="s">
        <v>2634</v>
      </c>
      <c r="D104" s="19" t="s">
        <v>938</v>
      </c>
      <c r="E104" s="274" t="s">
        <v>2635</v>
      </c>
      <c r="F104" s="74" t="s">
        <v>2633</v>
      </c>
      <c r="G104" s="347"/>
      <c r="H104" s="20">
        <v>6796742960</v>
      </c>
      <c r="I104" s="20">
        <f>I103+Table145[[#This Row],[مبلغ ورود]]-Table145[[#This Row],[مبلغ خروج]]</f>
        <v>313823792980</v>
      </c>
    </row>
    <row r="105" spans="1:9" ht="21">
      <c r="A105" s="344">
        <v>102</v>
      </c>
      <c r="B105" s="261" t="s">
        <v>2629</v>
      </c>
      <c r="C105" s="346"/>
      <c r="D105" s="19" t="s">
        <v>938</v>
      </c>
      <c r="F105" s="74" t="s">
        <v>1561</v>
      </c>
      <c r="G105" s="347"/>
      <c r="H105" s="20">
        <f>134237+110000</f>
        <v>244237</v>
      </c>
      <c r="I105" s="20">
        <f>I104+Table145[[#This Row],[مبلغ ورود]]-Table145[[#This Row],[مبلغ خروج]]</f>
        <v>313823548743</v>
      </c>
    </row>
    <row r="106" spans="1:9" ht="21">
      <c r="A106" s="344">
        <v>103</v>
      </c>
      <c r="B106" s="261" t="s">
        <v>2636</v>
      </c>
      <c r="C106" s="346"/>
      <c r="D106" s="19" t="s">
        <v>938</v>
      </c>
      <c r="F106" s="74" t="s">
        <v>1561</v>
      </c>
      <c r="G106" s="347"/>
      <c r="H106" s="20">
        <v>250000</v>
      </c>
      <c r="I106" s="20">
        <f>I105+Table145[[#This Row],[مبلغ ورود]]-Table145[[#This Row],[مبلغ خروج]]</f>
        <v>313823298743</v>
      </c>
    </row>
    <row r="107" spans="1:9" ht="37.5">
      <c r="A107" s="344">
        <v>104</v>
      </c>
      <c r="B107" s="261" t="s">
        <v>2637</v>
      </c>
      <c r="C107" s="317" t="s">
        <v>2638</v>
      </c>
      <c r="D107" s="19" t="s">
        <v>938</v>
      </c>
      <c r="E107" s="274" t="s">
        <v>2640</v>
      </c>
      <c r="F107" s="74" t="s">
        <v>2642</v>
      </c>
      <c r="G107" s="351"/>
      <c r="H107" s="20">
        <v>936733698</v>
      </c>
      <c r="I107" s="20">
        <f>I106+Table145[[#This Row],[مبلغ ورود]]-Table145[[#This Row],[مبلغ خروج]]</f>
        <v>312886565045</v>
      </c>
    </row>
    <row r="108" spans="1:9" ht="37.5">
      <c r="A108" s="344">
        <v>105</v>
      </c>
      <c r="B108" s="261" t="s">
        <v>2637</v>
      </c>
      <c r="C108" s="317" t="s">
        <v>2639</v>
      </c>
      <c r="D108" s="19" t="s">
        <v>938</v>
      </c>
      <c r="E108" s="274" t="s">
        <v>2641</v>
      </c>
      <c r="F108" s="74" t="s">
        <v>2643</v>
      </c>
      <c r="G108" s="351"/>
      <c r="H108" s="20">
        <v>10982400000</v>
      </c>
      <c r="I108" s="20">
        <f>I107+Table145[[#This Row],[مبلغ ورود]]-Table145[[#This Row],[مبلغ خروج]]</f>
        <v>301904165045</v>
      </c>
    </row>
    <row r="109" spans="1:9" ht="37.5">
      <c r="A109" s="344">
        <v>106</v>
      </c>
      <c r="B109" s="261" t="s">
        <v>2637</v>
      </c>
      <c r="C109" s="317" t="s">
        <v>2645</v>
      </c>
      <c r="D109" s="19" t="s">
        <v>938</v>
      </c>
      <c r="E109" s="274" t="s">
        <v>2646</v>
      </c>
      <c r="F109" s="74" t="s">
        <v>2644</v>
      </c>
      <c r="G109" s="351"/>
      <c r="H109" s="20">
        <v>1529325000</v>
      </c>
      <c r="I109" s="20">
        <f>I108+Table145[[#This Row],[مبلغ ورود]]-Table145[[#This Row],[مبلغ خروج]]</f>
        <v>300374840045</v>
      </c>
    </row>
    <row r="110" spans="1:9" ht="37.5">
      <c r="A110" s="344">
        <v>107</v>
      </c>
      <c r="B110" s="261" t="s">
        <v>2637</v>
      </c>
      <c r="C110" s="317" t="s">
        <v>2647</v>
      </c>
      <c r="D110" s="19" t="s">
        <v>938</v>
      </c>
      <c r="E110" s="274" t="s">
        <v>2648</v>
      </c>
      <c r="F110" s="74" t="s">
        <v>2649</v>
      </c>
      <c r="G110" s="351"/>
      <c r="H110" s="20">
        <v>2202946000</v>
      </c>
      <c r="I110" s="20">
        <f>I109+Table145[[#This Row],[مبلغ ورود]]-Table145[[#This Row],[مبلغ خروج]]</f>
        <v>298171894045</v>
      </c>
    </row>
    <row r="111" spans="1:9" ht="37.5">
      <c r="A111" s="344">
        <v>108</v>
      </c>
      <c r="B111" s="261" t="s">
        <v>2637</v>
      </c>
      <c r="C111" s="317" t="s">
        <v>2650</v>
      </c>
      <c r="D111" s="19" t="s">
        <v>938</v>
      </c>
      <c r="E111" s="274" t="s">
        <v>2651</v>
      </c>
      <c r="F111" s="74" t="s">
        <v>1812</v>
      </c>
      <c r="G111" s="351"/>
      <c r="H111" s="220">
        <v>5000000000</v>
      </c>
      <c r="I111" s="20">
        <f>I110+Table145[[#This Row],[مبلغ ورود]]-Table145[[#This Row],[مبلغ خروج]]</f>
        <v>293171894045</v>
      </c>
    </row>
    <row r="112" spans="1:9" ht="37.5">
      <c r="A112" s="344">
        <v>109</v>
      </c>
      <c r="B112" s="261" t="s">
        <v>2637</v>
      </c>
      <c r="C112" s="317" t="s">
        <v>2652</v>
      </c>
      <c r="D112" s="19" t="s">
        <v>938</v>
      </c>
      <c r="E112" s="274" t="s">
        <v>2654</v>
      </c>
      <c r="F112" s="74" t="s">
        <v>2449</v>
      </c>
      <c r="G112" s="351"/>
      <c r="H112" s="220">
        <v>140000000000</v>
      </c>
      <c r="I112" s="20">
        <f>I111+Table145[[#This Row],[مبلغ ورود]]-Table145[[#This Row],[مبلغ خروج]]</f>
        <v>153171894045</v>
      </c>
    </row>
    <row r="113" spans="1:9" ht="37.5">
      <c r="A113" s="344">
        <v>110</v>
      </c>
      <c r="B113" s="261" t="s">
        <v>2637</v>
      </c>
      <c r="C113" s="317" t="s">
        <v>2653</v>
      </c>
      <c r="D113" s="19" t="s">
        <v>938</v>
      </c>
      <c r="E113" s="274" t="s">
        <v>2655</v>
      </c>
      <c r="F113" s="74" t="s">
        <v>2453</v>
      </c>
      <c r="G113" s="351"/>
      <c r="H113" s="20">
        <v>70000000000</v>
      </c>
      <c r="I113" s="20">
        <f>I112+Table145[[#This Row],[مبلغ ورود]]-Table145[[#This Row],[مبلغ خروج]]</f>
        <v>83171894045</v>
      </c>
    </row>
    <row r="114" spans="1:9" ht="37.5">
      <c r="A114" s="344">
        <v>111</v>
      </c>
      <c r="B114" s="261" t="s">
        <v>2657</v>
      </c>
      <c r="C114" s="317" t="s">
        <v>2656</v>
      </c>
      <c r="D114" s="19" t="s">
        <v>938</v>
      </c>
      <c r="E114" s="274" t="s">
        <v>2658</v>
      </c>
      <c r="F114" s="197" t="s">
        <v>2659</v>
      </c>
      <c r="G114" s="351"/>
      <c r="H114" s="20">
        <v>1040000000</v>
      </c>
      <c r="I114" s="20">
        <f>I113+Table145[[#This Row],[مبلغ ورود]]-Table145[[#This Row],[مبلغ خروج]]</f>
        <v>82131894045</v>
      </c>
    </row>
    <row r="115" spans="1:9" ht="37.5">
      <c r="A115" s="344">
        <v>112</v>
      </c>
      <c r="B115" s="261" t="s">
        <v>2662</v>
      </c>
      <c r="C115" s="317" t="s">
        <v>2661</v>
      </c>
      <c r="D115" s="19" t="s">
        <v>938</v>
      </c>
      <c r="E115" s="274" t="s">
        <v>2663</v>
      </c>
      <c r="F115" s="74" t="s">
        <v>2660</v>
      </c>
      <c r="G115" s="351"/>
      <c r="H115" s="20">
        <v>56296696254</v>
      </c>
      <c r="I115" s="20">
        <f>I114+Table145[[#This Row],[مبلغ ورود]]-Table145[[#This Row],[مبلغ خروج]]</f>
        <v>25835197791</v>
      </c>
    </row>
    <row r="116" spans="1:9" ht="37.5">
      <c r="A116" s="344">
        <v>113</v>
      </c>
      <c r="B116" s="261" t="s">
        <v>2662</v>
      </c>
      <c r="C116" s="317" t="s">
        <v>2665</v>
      </c>
      <c r="D116" s="19" t="s">
        <v>938</v>
      </c>
      <c r="E116" s="274" t="s">
        <v>2666</v>
      </c>
      <c r="F116" s="197" t="s">
        <v>2664</v>
      </c>
      <c r="G116" s="351"/>
      <c r="H116" s="220">
        <v>1101208590</v>
      </c>
      <c r="I116" s="20">
        <f>I115+Table145[[#This Row],[مبلغ ورود]]-Table145[[#This Row],[مبلغ خروج]]</f>
        <v>24733989201</v>
      </c>
    </row>
    <row r="117" spans="1:9" ht="37.5">
      <c r="A117" s="344">
        <v>114</v>
      </c>
      <c r="B117" s="261" t="s">
        <v>2662</v>
      </c>
      <c r="C117" s="317" t="s">
        <v>2667</v>
      </c>
      <c r="D117" s="19" t="s">
        <v>938</v>
      </c>
      <c r="E117" s="274" t="s">
        <v>2668</v>
      </c>
      <c r="F117" s="74" t="s">
        <v>2669</v>
      </c>
      <c r="G117" s="351"/>
      <c r="H117" s="20">
        <v>3017299250</v>
      </c>
      <c r="I117" s="20">
        <f>I116+Table145[[#This Row],[مبلغ ورود]]-Table145[[#This Row],[مبلغ خروج]]</f>
        <v>21716689951</v>
      </c>
    </row>
    <row r="118" spans="1:9" ht="21">
      <c r="A118" s="344">
        <v>115</v>
      </c>
      <c r="B118" s="261" t="s">
        <v>2670</v>
      </c>
      <c r="C118" s="349"/>
      <c r="D118" s="19" t="s">
        <v>938</v>
      </c>
      <c r="F118" s="74" t="s">
        <v>1561</v>
      </c>
      <c r="G118" s="351"/>
      <c r="H118" s="20">
        <f>250000</f>
        <v>250000</v>
      </c>
      <c r="I118" s="20">
        <f>I117+Table145[[#This Row],[مبلغ ورود]]-Table145[[#This Row],[مبلغ خروج]]</f>
        <v>21716439951</v>
      </c>
    </row>
    <row r="119" spans="1:9" ht="21">
      <c r="A119" s="348">
        <v>116</v>
      </c>
      <c r="B119" s="261" t="s">
        <v>2657</v>
      </c>
      <c r="C119" s="349"/>
      <c r="D119" s="19" t="s">
        <v>938</v>
      </c>
      <c r="F119" s="74" t="s">
        <v>1561</v>
      </c>
      <c r="G119" s="351"/>
      <c r="H119" s="20">
        <f>250000+250000+250000+250000+250000</f>
        <v>1250000</v>
      </c>
      <c r="I119" s="20">
        <f>I118+Table145[[#This Row],[مبلغ ورود]]-Table145[[#This Row],[مبلغ خروج]]</f>
        <v>21715189951</v>
      </c>
    </row>
    <row r="120" spans="1:9" ht="21">
      <c r="A120" s="348">
        <v>117</v>
      </c>
      <c r="B120" s="261" t="s">
        <v>2662</v>
      </c>
      <c r="C120" s="349"/>
      <c r="D120" s="19" t="s">
        <v>938</v>
      </c>
      <c r="F120" s="74" t="s">
        <v>1561</v>
      </c>
      <c r="G120" s="351"/>
      <c r="H120" s="20">
        <v>208000</v>
      </c>
      <c r="I120" s="20">
        <f>I119+Table145[[#This Row],[مبلغ ورود]]-Table145[[#This Row],[مبلغ خروج]]</f>
        <v>21714981951</v>
      </c>
    </row>
    <row r="121" spans="1:9" ht="21">
      <c r="A121" s="348">
        <v>118</v>
      </c>
      <c r="B121" s="261" t="s">
        <v>2662</v>
      </c>
      <c r="C121" s="349"/>
      <c r="D121" s="19" t="s">
        <v>938</v>
      </c>
      <c r="F121" s="74" t="s">
        <v>1180</v>
      </c>
      <c r="G121" s="351">
        <v>80000000000</v>
      </c>
      <c r="I121" s="20">
        <f>I120+Table145[[#This Row],[مبلغ ورود]]-Table145[[#This Row],[مبلغ خروج]]</f>
        <v>101714981951</v>
      </c>
    </row>
    <row r="122" spans="1:9" ht="21">
      <c r="A122" s="348">
        <v>119</v>
      </c>
      <c r="B122" s="261" t="s">
        <v>2671</v>
      </c>
      <c r="C122" s="349"/>
      <c r="D122" s="350" t="s">
        <v>938</v>
      </c>
      <c r="F122" s="74" t="s">
        <v>2672</v>
      </c>
      <c r="G122" s="351">
        <v>100000000000</v>
      </c>
      <c r="I122" s="20">
        <f>I121+Table145[[#This Row],[مبلغ ورود]]-Table145[[#This Row],[مبلغ خروج]]</f>
        <v>201714981951</v>
      </c>
    </row>
    <row r="123" spans="1:9" ht="37.5">
      <c r="A123" s="348">
        <v>120</v>
      </c>
      <c r="B123" s="261" t="s">
        <v>2673</v>
      </c>
      <c r="C123" s="317" t="s">
        <v>2675</v>
      </c>
      <c r="D123" s="350" t="s">
        <v>938</v>
      </c>
      <c r="E123" s="274" t="s">
        <v>2676</v>
      </c>
      <c r="F123" s="74" t="s">
        <v>2674</v>
      </c>
      <c r="G123" s="351"/>
      <c r="H123" s="20">
        <v>12500000000</v>
      </c>
      <c r="I123" s="20">
        <f>I122+Table145[[#This Row],[مبلغ ورود]]-Table145[[#This Row],[مبلغ خروج]]</f>
        <v>189214981951</v>
      </c>
    </row>
    <row r="124" spans="1:9" ht="37.5">
      <c r="A124" s="344">
        <v>121</v>
      </c>
      <c r="B124" s="261" t="s">
        <v>2673</v>
      </c>
      <c r="C124" s="317" t="s">
        <v>2677</v>
      </c>
      <c r="D124" s="350" t="s">
        <v>938</v>
      </c>
      <c r="E124" s="274" t="s">
        <v>2678</v>
      </c>
      <c r="F124" s="74" t="s">
        <v>2449</v>
      </c>
      <c r="G124" s="347"/>
      <c r="H124" s="20">
        <v>70000000000</v>
      </c>
      <c r="I124" s="20">
        <f>I123+Table145[[#This Row],[مبلغ ورود]]-Table145[[#This Row],[مبلغ خروج]]</f>
        <v>119214981951</v>
      </c>
    </row>
    <row r="125" spans="1:9" ht="37.5">
      <c r="A125" s="344">
        <v>122</v>
      </c>
      <c r="B125" s="261" t="s">
        <v>2680</v>
      </c>
      <c r="C125" s="317" t="s">
        <v>2679</v>
      </c>
      <c r="D125" s="350" t="s">
        <v>938</v>
      </c>
      <c r="E125" s="274" t="s">
        <v>2681</v>
      </c>
      <c r="F125" s="74" t="s">
        <v>2682</v>
      </c>
      <c r="G125" s="347"/>
      <c r="H125" s="20">
        <v>4960418445</v>
      </c>
      <c r="I125" s="20">
        <f>I124+Table145[[#This Row],[مبلغ ورود]]-Table145[[#This Row],[مبلغ خروج]]</f>
        <v>114254563506</v>
      </c>
    </row>
    <row r="126" spans="1:9" ht="37.5">
      <c r="A126" s="344">
        <v>123</v>
      </c>
      <c r="B126" s="261" t="s">
        <v>2680</v>
      </c>
      <c r="C126" s="317" t="s">
        <v>2683</v>
      </c>
      <c r="D126" s="350" t="s">
        <v>938</v>
      </c>
      <c r="E126" s="274" t="s">
        <v>2684</v>
      </c>
      <c r="F126" s="74" t="s">
        <v>2685</v>
      </c>
      <c r="G126" s="347"/>
      <c r="H126" s="20">
        <v>9840021750</v>
      </c>
      <c r="I126" s="20">
        <f>I125+Table145[[#This Row],[مبلغ ورود]]-Table145[[#This Row],[مبلغ خروج]]</f>
        <v>104414541756</v>
      </c>
    </row>
    <row r="127" spans="1:9" ht="21">
      <c r="A127" s="344">
        <v>124</v>
      </c>
      <c r="B127" s="261" t="s">
        <v>2680</v>
      </c>
      <c r="C127" s="346"/>
      <c r="D127" s="350" t="s">
        <v>938</v>
      </c>
      <c r="F127" s="74" t="s">
        <v>1561</v>
      </c>
      <c r="G127" s="347"/>
      <c r="H127" s="20">
        <f>250000+250000+250000</f>
        <v>750000</v>
      </c>
      <c r="I127" s="20">
        <f>I126+Table145[[#This Row],[مبلغ ورود]]-Table145[[#This Row],[مبلغ خروج]]</f>
        <v>104413791756</v>
      </c>
    </row>
    <row r="128" spans="1:9" ht="37.5">
      <c r="A128" s="335">
        <v>125</v>
      </c>
      <c r="B128" s="261" t="s">
        <v>2686</v>
      </c>
      <c r="C128" s="317" t="s">
        <v>2687</v>
      </c>
      <c r="D128" s="350" t="s">
        <v>938</v>
      </c>
      <c r="E128" s="274" t="s">
        <v>2690</v>
      </c>
      <c r="F128" s="74" t="s">
        <v>2689</v>
      </c>
      <c r="G128" s="333"/>
      <c r="H128" s="20">
        <v>13015995200</v>
      </c>
      <c r="I128" s="20">
        <f>I127+Table145[[#This Row],[مبلغ ورود]]-Table145[[#This Row],[مبلغ خروج]]</f>
        <v>91397796556</v>
      </c>
    </row>
    <row r="129" spans="1:9" ht="37.5">
      <c r="A129" s="1">
        <v>126</v>
      </c>
      <c r="B129" s="261" t="s">
        <v>2686</v>
      </c>
      <c r="C129" s="317" t="s">
        <v>2688</v>
      </c>
      <c r="D129" s="350" t="s">
        <v>938</v>
      </c>
      <c r="E129" s="274" t="s">
        <v>2691</v>
      </c>
      <c r="F129" s="74" t="s">
        <v>2692</v>
      </c>
      <c r="G129" s="333"/>
      <c r="H129" s="20">
        <v>22029195000</v>
      </c>
      <c r="I129" s="20">
        <f>I128+Table145[[#This Row],[مبلغ ورود]]-Table145[[#This Row],[مبلغ خروج]]</f>
        <v>69368601556</v>
      </c>
    </row>
    <row r="130" spans="1:9" ht="23.25" customHeight="1">
      <c r="A130" s="1">
        <v>127</v>
      </c>
      <c r="B130" s="261" t="s">
        <v>2695</v>
      </c>
      <c r="C130" s="317" t="s">
        <v>2694</v>
      </c>
      <c r="D130" s="350" t="s">
        <v>938</v>
      </c>
      <c r="E130" s="274" t="s">
        <v>2696</v>
      </c>
      <c r="F130" s="74" t="s">
        <v>2693</v>
      </c>
      <c r="G130" s="333"/>
      <c r="H130" s="20">
        <v>36000000</v>
      </c>
      <c r="I130" s="20">
        <f>I129+Table145[[#This Row],[مبلغ ورود]]-Table145[[#This Row],[مبلغ خروج]]</f>
        <v>69332601556</v>
      </c>
    </row>
    <row r="131" spans="1:9" ht="21">
      <c r="A131" s="1">
        <v>128</v>
      </c>
      <c r="B131" s="261" t="s">
        <v>2695</v>
      </c>
      <c r="C131" s="352"/>
      <c r="D131" s="350" t="s">
        <v>938</v>
      </c>
      <c r="F131" s="74" t="s">
        <v>1561</v>
      </c>
      <c r="G131" s="353"/>
      <c r="H131" s="20">
        <f>250000</f>
        <v>250000</v>
      </c>
      <c r="I131" s="20">
        <f>I130+Table145[[#This Row],[مبلغ ورود]]-Table145[[#This Row],[مبلغ خروج]]</f>
        <v>69332351556</v>
      </c>
    </row>
    <row r="132" spans="1:9" ht="21">
      <c r="A132" s="1">
        <v>129</v>
      </c>
      <c r="B132" s="261" t="s">
        <v>2697</v>
      </c>
      <c r="C132" s="352"/>
      <c r="D132" s="350" t="s">
        <v>938</v>
      </c>
      <c r="F132" s="74" t="s">
        <v>1561</v>
      </c>
      <c r="G132" s="353"/>
      <c r="H132" s="20">
        <v>250000</v>
      </c>
      <c r="I132" s="20">
        <f>I131+Table145[[#This Row],[مبلغ ورود]]-Table145[[#This Row],[مبلغ خروج]]</f>
        <v>69332101556</v>
      </c>
    </row>
    <row r="133" spans="1:9" ht="21">
      <c r="A133" s="1">
        <v>130</v>
      </c>
      <c r="B133" s="261" t="s">
        <v>2698</v>
      </c>
      <c r="C133" s="352"/>
      <c r="D133" s="350" t="s">
        <v>938</v>
      </c>
      <c r="F133" s="74" t="s">
        <v>1778</v>
      </c>
      <c r="G133" s="20">
        <v>230000000000</v>
      </c>
      <c r="I133" s="20">
        <f>I132+Table145[[#This Row],[مبلغ ورود]]-Table145[[#This Row],[مبلغ خروج]]</f>
        <v>299332101556</v>
      </c>
    </row>
    <row r="134" spans="1:9" ht="37.5">
      <c r="A134" s="1">
        <v>131</v>
      </c>
      <c r="B134" s="261" t="s">
        <v>2698</v>
      </c>
      <c r="C134" s="317" t="s">
        <v>2700</v>
      </c>
      <c r="D134" s="350" t="s">
        <v>938</v>
      </c>
      <c r="E134" s="274" t="s">
        <v>2701</v>
      </c>
      <c r="F134" s="197" t="s">
        <v>2699</v>
      </c>
      <c r="G134" s="353"/>
      <c r="H134" s="20">
        <v>40000617587</v>
      </c>
      <c r="I134" s="20">
        <f>I133+Table145[[#This Row],[مبلغ ورود]]-Table145[[#This Row],[مبلغ خروج]]</f>
        <v>259331483969</v>
      </c>
    </row>
    <row r="135" spans="1:9" ht="37.5">
      <c r="A135" s="1">
        <v>132</v>
      </c>
      <c r="B135" s="261" t="s">
        <v>2698</v>
      </c>
      <c r="C135" s="317" t="s">
        <v>2702</v>
      </c>
      <c r="D135" s="350" t="s">
        <v>938</v>
      </c>
      <c r="E135" s="274" t="s">
        <v>2703</v>
      </c>
      <c r="F135" s="74" t="s">
        <v>2449</v>
      </c>
      <c r="G135" s="20"/>
      <c r="H135" s="20">
        <v>40000000000</v>
      </c>
      <c r="I135" s="20">
        <f>I134+Table145[[#This Row],[مبلغ ورود]]-Table145[[#This Row],[مبلغ خروج]]</f>
        <v>219331483969</v>
      </c>
    </row>
    <row r="136" spans="1:9" ht="21">
      <c r="A136" s="1">
        <v>133</v>
      </c>
      <c r="B136" s="261" t="s">
        <v>2704</v>
      </c>
      <c r="C136" s="352"/>
      <c r="D136" s="350" t="s">
        <v>938</v>
      </c>
      <c r="F136" s="74" t="s">
        <v>1180</v>
      </c>
      <c r="G136" s="353">
        <v>20000000000</v>
      </c>
      <c r="I136" s="20">
        <f>I135+Table145[[#This Row],[مبلغ ورود]]-Table145[[#This Row],[مبلغ خروج]]</f>
        <v>239331483969</v>
      </c>
    </row>
    <row r="137" spans="1:9" ht="23.25" customHeight="1">
      <c r="A137" s="1">
        <v>134</v>
      </c>
      <c r="B137" s="261" t="s">
        <v>2704</v>
      </c>
      <c r="C137" s="317" t="s">
        <v>2705</v>
      </c>
      <c r="D137" s="350" t="s">
        <v>938</v>
      </c>
      <c r="E137" s="274" t="s">
        <v>2709</v>
      </c>
      <c r="F137" s="74" t="s">
        <v>2713</v>
      </c>
      <c r="G137" s="353"/>
      <c r="H137" s="20">
        <v>36118362476</v>
      </c>
      <c r="I137" s="20">
        <f>I136+Table145[[#This Row],[مبلغ ورود]]-Table145[[#This Row],[مبلغ خروج]]</f>
        <v>203213121493</v>
      </c>
    </row>
    <row r="138" spans="1:9" ht="37.5">
      <c r="A138" s="1">
        <v>135</v>
      </c>
      <c r="B138" s="261" t="s">
        <v>2704</v>
      </c>
      <c r="C138" s="317" t="s">
        <v>2706</v>
      </c>
      <c r="D138" s="350" t="s">
        <v>938</v>
      </c>
      <c r="E138" s="274" t="s">
        <v>2710</v>
      </c>
      <c r="F138" s="74" t="s">
        <v>2714</v>
      </c>
      <c r="G138" s="353"/>
      <c r="H138" s="20">
        <v>6250000000</v>
      </c>
      <c r="I138" s="20">
        <f>I137+Table145[[#This Row],[مبلغ ورود]]-Table145[[#This Row],[مبلغ خروج]]</f>
        <v>196963121493</v>
      </c>
    </row>
    <row r="139" spans="1:9" ht="37.5">
      <c r="A139" s="1">
        <v>136</v>
      </c>
      <c r="B139" s="261" t="s">
        <v>2704</v>
      </c>
      <c r="C139" s="317" t="s">
        <v>2707</v>
      </c>
      <c r="D139" s="350" t="s">
        <v>938</v>
      </c>
      <c r="E139" s="274" t="s">
        <v>2711</v>
      </c>
      <c r="F139" s="74" t="s">
        <v>2715</v>
      </c>
      <c r="G139" s="353"/>
      <c r="H139" s="20">
        <v>5000000000</v>
      </c>
      <c r="I139" s="20">
        <f>I138+Table145[[#This Row],[مبلغ ورود]]-Table145[[#This Row],[مبلغ خروج]]</f>
        <v>191963121493</v>
      </c>
    </row>
    <row r="140" spans="1:9" ht="21">
      <c r="A140" s="1">
        <v>137</v>
      </c>
      <c r="B140" s="261" t="s">
        <v>2716</v>
      </c>
      <c r="C140" s="317" t="s">
        <v>2708</v>
      </c>
      <c r="D140" s="350" t="s">
        <v>938</v>
      </c>
      <c r="E140" s="274" t="s">
        <v>2712</v>
      </c>
      <c r="F140" s="74" t="s">
        <v>2727</v>
      </c>
      <c r="G140" s="353"/>
      <c r="H140" s="20">
        <v>1273436429</v>
      </c>
      <c r="I140" s="20">
        <f>I139+Table145[[#This Row],[مبلغ ورود]]-Table145[[#This Row],[مبلغ خروج]]</f>
        <v>190689685064</v>
      </c>
    </row>
    <row r="141" spans="1:9" ht="21">
      <c r="A141" s="1">
        <v>138</v>
      </c>
      <c r="B141" s="261" t="s">
        <v>2716</v>
      </c>
      <c r="C141" s="317" t="s">
        <v>2717</v>
      </c>
      <c r="D141" s="350" t="s">
        <v>938</v>
      </c>
      <c r="E141" s="274" t="s">
        <v>2722</v>
      </c>
      <c r="F141" s="74" t="s">
        <v>2728</v>
      </c>
      <c r="G141" s="353"/>
      <c r="H141" s="20">
        <v>489869750</v>
      </c>
      <c r="I141" s="20">
        <f>I140+Table145[[#This Row],[مبلغ ورود]]-Table145[[#This Row],[مبلغ خروج]]</f>
        <v>190199815314</v>
      </c>
    </row>
    <row r="142" spans="1:9" ht="21">
      <c r="A142" s="1">
        <v>139</v>
      </c>
      <c r="B142" s="261" t="s">
        <v>2716</v>
      </c>
      <c r="C142" s="317" t="s">
        <v>2718</v>
      </c>
      <c r="D142" s="350" t="s">
        <v>938</v>
      </c>
      <c r="E142" s="274" t="s">
        <v>2723</v>
      </c>
      <c r="F142" s="74" t="s">
        <v>2729</v>
      </c>
      <c r="G142" s="355"/>
      <c r="H142" s="20">
        <v>6000000000</v>
      </c>
      <c r="I142" s="20">
        <f>I141+Table145[[#This Row],[مبلغ ورود]]-Table145[[#This Row],[مبلغ خروج]]</f>
        <v>184199815314</v>
      </c>
    </row>
    <row r="143" spans="1:9" ht="21">
      <c r="A143" s="1">
        <v>140</v>
      </c>
      <c r="B143" s="261" t="s">
        <v>2716</v>
      </c>
      <c r="C143" s="317" t="s">
        <v>2719</v>
      </c>
      <c r="D143" s="350" t="s">
        <v>938</v>
      </c>
      <c r="E143" s="274" t="s">
        <v>2724</v>
      </c>
      <c r="F143" s="74" t="s">
        <v>1838</v>
      </c>
      <c r="G143" s="355"/>
      <c r="H143" s="20">
        <v>30000000000</v>
      </c>
      <c r="I143" s="20">
        <f>I142+Table145[[#This Row],[مبلغ ورود]]-Table145[[#This Row],[مبلغ خروج]]</f>
        <v>154199815314</v>
      </c>
    </row>
    <row r="144" spans="1:9" ht="37.5">
      <c r="A144" s="1">
        <v>141</v>
      </c>
      <c r="B144" s="261" t="s">
        <v>2716</v>
      </c>
      <c r="C144" s="317" t="s">
        <v>2720</v>
      </c>
      <c r="D144" s="350" t="s">
        <v>938</v>
      </c>
      <c r="E144" s="274" t="s">
        <v>2725</v>
      </c>
      <c r="F144" s="74" t="s">
        <v>2733</v>
      </c>
      <c r="G144" s="355"/>
      <c r="H144" s="20">
        <v>440340000</v>
      </c>
      <c r="I144" s="20">
        <f>I143+Table145[[#This Row],[مبلغ ورود]]-Table145[[#This Row],[مبلغ خروج]]</f>
        <v>153759475314</v>
      </c>
    </row>
    <row r="145" spans="1:9" ht="37.5">
      <c r="A145" s="1">
        <v>142</v>
      </c>
      <c r="B145" s="261" t="s">
        <v>2716</v>
      </c>
      <c r="C145" s="317" t="s">
        <v>2721</v>
      </c>
      <c r="D145" s="350" t="s">
        <v>938</v>
      </c>
      <c r="E145" s="274" t="s">
        <v>2726</v>
      </c>
      <c r="F145" s="74" t="s">
        <v>2736</v>
      </c>
      <c r="G145" s="355"/>
      <c r="H145" s="20">
        <v>2906000000</v>
      </c>
      <c r="I145" s="20">
        <f>I144+Table145[[#This Row],[مبلغ ورود]]-Table145[[#This Row],[مبلغ خروج]]</f>
        <v>150853475314</v>
      </c>
    </row>
    <row r="146" spans="1:9" ht="37.5">
      <c r="A146" s="1">
        <v>143</v>
      </c>
      <c r="B146" s="261" t="s">
        <v>2716</v>
      </c>
      <c r="C146" s="317" t="s">
        <v>2735</v>
      </c>
      <c r="D146" s="350" t="s">
        <v>938</v>
      </c>
      <c r="E146" s="274" t="s">
        <v>2734</v>
      </c>
      <c r="F146" s="74" t="s">
        <v>2737</v>
      </c>
      <c r="G146" s="355"/>
      <c r="H146" s="20">
        <v>8222400000</v>
      </c>
      <c r="I146" s="20">
        <f>I145+Table145[[#This Row],[مبلغ ورود]]-Table145[[#This Row],[مبلغ خروج]]</f>
        <v>142631075314</v>
      </c>
    </row>
    <row r="147" spans="1:9" ht="37.5">
      <c r="A147" s="1">
        <v>144</v>
      </c>
      <c r="B147" s="261" t="s">
        <v>2741</v>
      </c>
      <c r="C147" s="317" t="s">
        <v>2738</v>
      </c>
      <c r="D147" s="350" t="s">
        <v>938</v>
      </c>
      <c r="E147" s="274" t="s">
        <v>2739</v>
      </c>
      <c r="F147" s="74" t="s">
        <v>2740</v>
      </c>
      <c r="G147" s="355"/>
      <c r="H147" s="20">
        <v>2968114271</v>
      </c>
      <c r="I147" s="20">
        <f>I146+Table145[[#This Row],[مبلغ ورود]]-Table145[[#This Row],[مبلغ خروج]]</f>
        <v>139662961043</v>
      </c>
    </row>
    <row r="148" spans="1:9" ht="37.5">
      <c r="A148" s="1">
        <v>145</v>
      </c>
      <c r="B148" s="261" t="s">
        <v>2741</v>
      </c>
      <c r="C148" s="317" t="s">
        <v>2742</v>
      </c>
      <c r="D148" s="350" t="s">
        <v>938</v>
      </c>
      <c r="E148" s="274" t="s">
        <v>2743</v>
      </c>
      <c r="F148" s="74" t="s">
        <v>2449</v>
      </c>
      <c r="G148" s="355"/>
      <c r="H148" s="20">
        <v>50000000000</v>
      </c>
      <c r="I148" s="20">
        <f>I147+Table145[[#This Row],[مبلغ ورود]]-Table145[[#This Row],[مبلغ خروج]]</f>
        <v>89662961043</v>
      </c>
    </row>
    <row r="149" spans="1:9" ht="21">
      <c r="A149" s="1">
        <v>146</v>
      </c>
      <c r="B149" s="261" t="s">
        <v>2716</v>
      </c>
      <c r="C149" s="354"/>
      <c r="D149" s="350" t="s">
        <v>938</v>
      </c>
      <c r="F149" s="74" t="s">
        <v>2744</v>
      </c>
      <c r="G149" s="355">
        <v>697544046</v>
      </c>
      <c r="I149" s="20">
        <f>I148+Table145[[#This Row],[مبلغ ورود]]-Table145[[#This Row],[مبلغ خروج]]</f>
        <v>90360505089</v>
      </c>
    </row>
    <row r="150" spans="1:9" ht="21">
      <c r="A150" s="1">
        <v>147</v>
      </c>
      <c r="B150" s="261" t="s">
        <v>2704</v>
      </c>
      <c r="C150" s="354"/>
      <c r="D150" s="350" t="s">
        <v>938</v>
      </c>
      <c r="F150" s="74" t="s">
        <v>1561</v>
      </c>
      <c r="G150" s="355"/>
      <c r="H150" s="355">
        <v>250000</v>
      </c>
      <c r="I150" s="20">
        <f>I149+Table145[[#This Row],[مبلغ ورود]]-Table145[[#This Row],[مبلغ خروج]]</f>
        <v>90360255089</v>
      </c>
    </row>
    <row r="151" spans="1:9" ht="21">
      <c r="A151" s="1">
        <v>148</v>
      </c>
      <c r="B151" s="261" t="s">
        <v>2704</v>
      </c>
      <c r="C151" s="354"/>
      <c r="D151" s="350" t="s">
        <v>938</v>
      </c>
      <c r="F151" s="74" t="s">
        <v>2745</v>
      </c>
      <c r="G151" s="73">
        <v>250000</v>
      </c>
      <c r="I151" s="20">
        <f>I150+Table145[[#This Row],[مبلغ ورود]]-Table145[[#This Row],[مبلغ خروج]]</f>
        <v>90360505089</v>
      </c>
    </row>
    <row r="152" spans="1:9" ht="21">
      <c r="A152" s="1">
        <v>149</v>
      </c>
      <c r="B152" s="261" t="s">
        <v>2704</v>
      </c>
      <c r="C152" s="317"/>
      <c r="D152" s="350" t="s">
        <v>938</v>
      </c>
      <c r="F152" s="74" t="s">
        <v>1561</v>
      </c>
      <c r="H152" s="73">
        <v>250000</v>
      </c>
      <c r="I152" s="20">
        <f>I151+Table145[[#This Row],[مبلغ ورود]]-Table145[[#This Row],[مبلغ خروج]]</f>
        <v>90360255089</v>
      </c>
    </row>
    <row r="153" spans="1:9" ht="21">
      <c r="A153" s="1">
        <v>150</v>
      </c>
      <c r="B153" s="261" t="s">
        <v>2716</v>
      </c>
      <c r="C153" s="317"/>
      <c r="D153" s="350" t="s">
        <v>938</v>
      </c>
      <c r="F153" s="74" t="s">
        <v>1561</v>
      </c>
      <c r="H153" s="20">
        <v>250000</v>
      </c>
      <c r="I153" s="20">
        <f>I152+Table145[[#This Row],[مبلغ ورود]]-Table145[[#This Row],[مبلغ خروج]]</f>
        <v>90360005089</v>
      </c>
    </row>
    <row r="154" spans="1:9" ht="21">
      <c r="A154" s="1">
        <v>151</v>
      </c>
      <c r="B154" s="261" t="s">
        <v>2716</v>
      </c>
      <c r="C154" s="317"/>
      <c r="D154" s="350" t="s">
        <v>938</v>
      </c>
      <c r="F154" s="74" t="s">
        <v>1561</v>
      </c>
      <c r="H154" s="20">
        <v>250000</v>
      </c>
      <c r="I154" s="20">
        <f>I153+Table145[[#This Row],[مبلغ ورود]]-Table145[[#This Row],[مبلغ خروج]]</f>
        <v>90359755089</v>
      </c>
    </row>
    <row r="155" spans="1:9" ht="21">
      <c r="A155" s="1">
        <v>152</v>
      </c>
      <c r="B155" s="261" t="s">
        <v>2716</v>
      </c>
      <c r="C155" s="317"/>
      <c r="D155" s="350" t="s">
        <v>938</v>
      </c>
      <c r="F155" s="74" t="s">
        <v>2274</v>
      </c>
      <c r="H155" s="20">
        <v>250000</v>
      </c>
      <c r="I155" s="20">
        <f>I154+Table145[[#This Row],[مبلغ ورود]]-Table145[[#This Row],[مبلغ خروج]]</f>
        <v>90359505089</v>
      </c>
    </row>
    <row r="156" spans="1:9" ht="21">
      <c r="A156" s="1">
        <v>153</v>
      </c>
      <c r="B156" s="261" t="s">
        <v>2716</v>
      </c>
      <c r="C156" s="317"/>
      <c r="D156" s="350" t="s">
        <v>938</v>
      </c>
      <c r="F156" s="74" t="s">
        <v>1561</v>
      </c>
      <c r="H156" s="20">
        <v>25000</v>
      </c>
      <c r="I156" s="20">
        <f>I155+Table145[[#This Row],[مبلغ ورود]]-Table145[[#This Row],[مبلغ خروج]]</f>
        <v>90359480089</v>
      </c>
    </row>
    <row r="157" spans="1:9" ht="21">
      <c r="A157" s="1">
        <v>154</v>
      </c>
      <c r="B157" s="261" t="s">
        <v>2741</v>
      </c>
      <c r="C157" s="317"/>
      <c r="D157" s="350" t="s">
        <v>938</v>
      </c>
      <c r="F157" s="74" t="s">
        <v>1561</v>
      </c>
      <c r="H157" s="20">
        <v>250000</v>
      </c>
      <c r="I157" s="20">
        <f>I156+Table145[[#This Row],[مبلغ ورود]]-Table145[[#This Row],[مبلغ خروج]]</f>
        <v>90359230089</v>
      </c>
    </row>
    <row r="158" spans="1:9" ht="21">
      <c r="A158" s="1">
        <v>155</v>
      </c>
      <c r="B158" s="261" t="s">
        <v>2746</v>
      </c>
      <c r="C158" s="317"/>
      <c r="D158" s="350" t="s">
        <v>938</v>
      </c>
      <c r="F158" s="74" t="s">
        <v>1561</v>
      </c>
      <c r="H158" s="20">
        <v>250000</v>
      </c>
      <c r="I158" s="20">
        <f>I157+Table145[[#This Row],[مبلغ ورود]]-Table145[[#This Row],[مبلغ خروج]]</f>
        <v>90358980089</v>
      </c>
    </row>
    <row r="159" spans="1:9" ht="37.5">
      <c r="A159" s="1">
        <v>156</v>
      </c>
      <c r="B159" s="261" t="s">
        <v>2748</v>
      </c>
      <c r="C159" s="317" t="s">
        <v>2749</v>
      </c>
      <c r="D159" s="350" t="s">
        <v>938</v>
      </c>
      <c r="E159" s="274" t="s">
        <v>2750</v>
      </c>
      <c r="F159" s="74" t="s">
        <v>2747</v>
      </c>
      <c r="H159" s="20">
        <v>2520391662</v>
      </c>
      <c r="I159" s="20">
        <f>I158+Table145[[#This Row],[مبلغ ورود]]-Table145[[#This Row],[مبلغ خروج]]</f>
        <v>87838588427</v>
      </c>
    </row>
    <row r="160" spans="1:9" ht="37.5">
      <c r="A160" s="1">
        <v>157</v>
      </c>
      <c r="B160" s="261" t="s">
        <v>2748</v>
      </c>
      <c r="C160" s="317" t="s">
        <v>2752</v>
      </c>
      <c r="D160" s="350" t="s">
        <v>938</v>
      </c>
      <c r="E160" s="274" t="s">
        <v>2753</v>
      </c>
      <c r="F160" s="74" t="s">
        <v>2751</v>
      </c>
      <c r="G160" s="357"/>
      <c r="H160" s="20">
        <v>959561974</v>
      </c>
      <c r="I160" s="20">
        <f>I159+Table145[[#This Row],[مبلغ ورود]]-Table145[[#This Row],[مبلغ خروج]]</f>
        <v>86879026453</v>
      </c>
    </row>
    <row r="161" spans="1:9" ht="37.5">
      <c r="A161" s="1">
        <v>158</v>
      </c>
      <c r="B161" s="261" t="s">
        <v>2748</v>
      </c>
      <c r="C161" s="317" t="s">
        <v>2754</v>
      </c>
      <c r="D161" s="350" t="s">
        <v>938</v>
      </c>
      <c r="E161" s="274" t="s">
        <v>2755</v>
      </c>
      <c r="F161" s="74" t="s">
        <v>2756</v>
      </c>
      <c r="G161" s="357"/>
      <c r="H161" s="20">
        <v>4060659220</v>
      </c>
      <c r="I161" s="20">
        <f>I160+Table145[[#This Row],[مبلغ ورود]]-Table145[[#This Row],[مبلغ خروج]]</f>
        <v>82818367233</v>
      </c>
    </row>
    <row r="162" spans="1:9" ht="37.5">
      <c r="A162" s="1">
        <v>159</v>
      </c>
      <c r="B162" s="261" t="s">
        <v>2748</v>
      </c>
      <c r="C162" s="317" t="s">
        <v>2757</v>
      </c>
      <c r="D162" s="350" t="s">
        <v>938</v>
      </c>
      <c r="E162" s="274" t="s">
        <v>2758</v>
      </c>
      <c r="F162" s="74" t="s">
        <v>2759</v>
      </c>
      <c r="G162" s="357"/>
      <c r="H162" s="20">
        <v>13448961700</v>
      </c>
      <c r="I162" s="20">
        <f>I161+Table145[[#This Row],[مبلغ ورود]]-Table145[[#This Row],[مبلغ خروج]]</f>
        <v>69369405533</v>
      </c>
    </row>
    <row r="163" spans="1:9" ht="37.5">
      <c r="A163" s="1">
        <v>160</v>
      </c>
      <c r="B163" s="261" t="s">
        <v>2748</v>
      </c>
      <c r="C163" s="317" t="s">
        <v>2760</v>
      </c>
      <c r="D163" s="350" t="s">
        <v>938</v>
      </c>
      <c r="E163" s="274" t="s">
        <v>2761</v>
      </c>
      <c r="F163" s="74" t="s">
        <v>2762</v>
      </c>
      <c r="G163" s="357"/>
      <c r="H163" s="20">
        <v>6575329420</v>
      </c>
      <c r="I163" s="20">
        <f>I162+Table145[[#This Row],[مبلغ ورود]]-Table145[[#This Row],[مبلغ خروج]]</f>
        <v>62794076113</v>
      </c>
    </row>
    <row r="164" spans="1:9" ht="37.5">
      <c r="A164" s="1">
        <v>161</v>
      </c>
      <c r="B164" s="261" t="s">
        <v>2748</v>
      </c>
      <c r="C164" s="317" t="s">
        <v>2763</v>
      </c>
      <c r="D164" s="350" t="s">
        <v>938</v>
      </c>
      <c r="E164" s="274" t="s">
        <v>2765</v>
      </c>
      <c r="F164" s="74" t="s">
        <v>2768</v>
      </c>
      <c r="G164" s="357"/>
      <c r="H164" s="20">
        <v>7102446120</v>
      </c>
      <c r="I164" s="20">
        <f>I163+Table145[[#This Row],[مبلغ ورود]]-Table145[[#This Row],[مبلغ خروج]]</f>
        <v>55691629993</v>
      </c>
    </row>
    <row r="165" spans="1:9" ht="37.5">
      <c r="A165" s="1">
        <v>162</v>
      </c>
      <c r="B165" s="261" t="s">
        <v>2748</v>
      </c>
      <c r="C165" s="317" t="s">
        <v>2764</v>
      </c>
      <c r="D165" s="350" t="s">
        <v>938</v>
      </c>
      <c r="E165" s="274" t="s">
        <v>2766</v>
      </c>
      <c r="F165" s="74" t="s">
        <v>2767</v>
      </c>
      <c r="G165" s="357"/>
      <c r="H165" s="20">
        <v>17387403436</v>
      </c>
      <c r="I165" s="20">
        <f>I164+Table145[[#This Row],[مبلغ ورود]]-Table145[[#This Row],[مبلغ خروج]]</f>
        <v>38304226557</v>
      </c>
    </row>
    <row r="166" spans="1:9" ht="37.5">
      <c r="A166" s="1">
        <v>163</v>
      </c>
      <c r="B166" s="261" t="s">
        <v>2770</v>
      </c>
      <c r="C166" s="317" t="s">
        <v>2769</v>
      </c>
      <c r="D166" s="350" t="s">
        <v>938</v>
      </c>
      <c r="E166" s="274" t="s">
        <v>2771</v>
      </c>
      <c r="F166" s="74" t="s">
        <v>2772</v>
      </c>
      <c r="G166" s="357"/>
      <c r="H166" s="20">
        <v>19184000</v>
      </c>
      <c r="I166" s="20">
        <f>I165+Table145[[#This Row],[مبلغ ورود]]-Table145[[#This Row],[مبلغ خروج]]</f>
        <v>38285042557</v>
      </c>
    </row>
    <row r="167" spans="1:9" ht="21">
      <c r="A167" s="1">
        <v>164</v>
      </c>
      <c r="B167" s="261" t="s">
        <v>2770</v>
      </c>
      <c r="C167" s="317"/>
      <c r="D167" s="350" t="s">
        <v>938</v>
      </c>
      <c r="F167" s="74" t="s">
        <v>2773</v>
      </c>
      <c r="G167" s="73">
        <v>1252712091</v>
      </c>
      <c r="I167" s="20">
        <f>I166+Table145[[#This Row],[مبلغ ورود]]-Table145[[#This Row],[مبلغ خروج]]</f>
        <v>39537754648</v>
      </c>
    </row>
    <row r="168" spans="1:9" ht="37.5">
      <c r="A168" s="1">
        <v>165</v>
      </c>
      <c r="B168" s="261" t="s">
        <v>2775</v>
      </c>
      <c r="C168" s="317" t="s">
        <v>2774</v>
      </c>
      <c r="D168" s="350" t="s">
        <v>938</v>
      </c>
      <c r="E168" s="274" t="s">
        <v>2776</v>
      </c>
      <c r="F168" s="74" t="s">
        <v>2449</v>
      </c>
      <c r="G168" s="357"/>
      <c r="H168" s="20">
        <v>100000000000</v>
      </c>
      <c r="I168" s="20">
        <f>I167+Table145[[#This Row],[مبلغ ورود]]-Table145[[#This Row],[مبلغ خروج]]</f>
        <v>-60462245352</v>
      </c>
    </row>
    <row r="169" spans="1:9" ht="21">
      <c r="A169" s="358">
        <v>166</v>
      </c>
      <c r="B169" s="261" t="s">
        <v>2777</v>
      </c>
      <c r="C169" s="356"/>
      <c r="D169" s="350" t="s">
        <v>938</v>
      </c>
      <c r="F169" s="197" t="s">
        <v>2672</v>
      </c>
      <c r="G169" s="357">
        <v>100000000000</v>
      </c>
      <c r="I169" s="20">
        <f>I168+Table145[[#This Row],[مبلغ ورود]]-Table145[[#This Row],[مبلغ خروج]]</f>
        <v>39537754648</v>
      </c>
    </row>
    <row r="170" spans="1:9" ht="37.5">
      <c r="A170" s="358">
        <v>167</v>
      </c>
      <c r="B170" s="261" t="s">
        <v>2778</v>
      </c>
      <c r="C170" s="317" t="s">
        <v>2779</v>
      </c>
      <c r="D170" s="350" t="s">
        <v>938</v>
      </c>
      <c r="E170" s="274" t="s">
        <v>2780</v>
      </c>
      <c r="F170" s="74" t="s">
        <v>1812</v>
      </c>
      <c r="G170" s="357"/>
      <c r="H170" s="20">
        <v>7000000000</v>
      </c>
      <c r="I170" s="20">
        <f>I169+Table145[[#This Row],[مبلغ ورود]]-Table145[[#This Row],[مبلغ خروج]]</f>
        <v>32537754648</v>
      </c>
    </row>
    <row r="171" spans="1:9" ht="21">
      <c r="A171" s="358">
        <v>168</v>
      </c>
      <c r="B171" s="261" t="s">
        <v>2778</v>
      </c>
      <c r="C171" s="356"/>
      <c r="D171" s="350" t="s">
        <v>938</v>
      </c>
      <c r="F171" s="74" t="s">
        <v>2782</v>
      </c>
      <c r="G171" s="357">
        <v>11367453</v>
      </c>
      <c r="I171" s="20">
        <f>I170+Table145[[#This Row],[مبلغ ورود]]-Table145[[#This Row],[مبلغ خروج]]</f>
        <v>32549122101</v>
      </c>
    </row>
    <row r="172" spans="1:9" ht="21">
      <c r="A172" s="358">
        <v>169</v>
      </c>
      <c r="B172" s="261" t="s">
        <v>2778</v>
      </c>
      <c r="C172" s="356"/>
      <c r="D172" s="350" t="s">
        <v>938</v>
      </c>
      <c r="F172" s="74" t="s">
        <v>1561</v>
      </c>
      <c r="G172" s="357"/>
      <c r="H172" s="357">
        <v>250000</v>
      </c>
      <c r="I172" s="20">
        <f>I171+Table145[[#This Row],[مبلغ ورود]]-Table145[[#This Row],[مبلغ خروج]]</f>
        <v>32548872101</v>
      </c>
    </row>
    <row r="173" spans="1:9" ht="21">
      <c r="A173" s="358">
        <v>170</v>
      </c>
      <c r="B173" s="261" t="s">
        <v>2778</v>
      </c>
      <c r="C173" s="356"/>
      <c r="D173" s="350" t="s">
        <v>938</v>
      </c>
      <c r="F173" s="74" t="s">
        <v>2783</v>
      </c>
      <c r="G173" s="20">
        <v>250000</v>
      </c>
      <c r="I173" s="20">
        <f>I172+Table145[[#This Row],[مبلغ ورود]]-Table145[[#This Row],[مبلغ خروج]]</f>
        <v>32549122101</v>
      </c>
    </row>
    <row r="174" spans="1:9" ht="21">
      <c r="A174" s="358">
        <v>171</v>
      </c>
      <c r="B174" s="261" t="s">
        <v>2778</v>
      </c>
      <c r="C174" s="356"/>
      <c r="D174" s="350" t="s">
        <v>938</v>
      </c>
      <c r="F174" s="74" t="s">
        <v>1561</v>
      </c>
      <c r="G174" s="357"/>
      <c r="H174" s="357">
        <v>250000</v>
      </c>
      <c r="I174" s="20">
        <f>I173+Table145[[#This Row],[مبلغ ورود]]-Table145[[#This Row],[مبلغ خروج]]</f>
        <v>32548872101</v>
      </c>
    </row>
    <row r="175" spans="1:9" ht="37.5">
      <c r="A175" s="1">
        <v>172</v>
      </c>
      <c r="B175" s="261" t="s">
        <v>2784</v>
      </c>
      <c r="C175" s="317" t="s">
        <v>2785</v>
      </c>
      <c r="D175" s="350" t="s">
        <v>938</v>
      </c>
      <c r="E175" s="274" t="s">
        <v>2786</v>
      </c>
      <c r="F175" s="74" t="s">
        <v>2787</v>
      </c>
      <c r="H175" s="20">
        <v>43273000</v>
      </c>
      <c r="I175" s="20">
        <f>I174+Table145[[#This Row],[مبلغ ورود]]-Table145[[#This Row],[مبلغ خروج]]</f>
        <v>32505599101</v>
      </c>
    </row>
    <row r="176" spans="1:9" ht="37.5">
      <c r="A176" s="1">
        <v>173</v>
      </c>
      <c r="B176" s="261" t="s">
        <v>2784</v>
      </c>
      <c r="C176" s="317" t="s">
        <v>2789</v>
      </c>
      <c r="D176" s="350" t="s">
        <v>938</v>
      </c>
      <c r="E176" s="274" t="s">
        <v>2790</v>
      </c>
      <c r="F176" s="74" t="s">
        <v>2788</v>
      </c>
      <c r="H176" s="20">
        <v>353160000</v>
      </c>
      <c r="I176" s="20">
        <f>I175+Table145[[#This Row],[مبلغ ورود]]-Table145[[#This Row],[مبلغ خروج]]</f>
        <v>32152439101</v>
      </c>
    </row>
    <row r="177" spans="1:9" ht="37.5">
      <c r="A177" s="1">
        <v>174</v>
      </c>
      <c r="B177" s="261" t="s">
        <v>2784</v>
      </c>
      <c r="C177" s="317" t="s">
        <v>2791</v>
      </c>
      <c r="D177" s="350" t="s">
        <v>938</v>
      </c>
      <c r="E177" s="274" t="s">
        <v>2792</v>
      </c>
      <c r="F177" s="74" t="s">
        <v>2793</v>
      </c>
      <c r="H177" s="20">
        <v>4015000000</v>
      </c>
      <c r="I177" s="20">
        <f>I176+Table145[[#This Row],[مبلغ ورود]]-Table145[[#This Row],[مبلغ خروج]]</f>
        <v>28137439101</v>
      </c>
    </row>
    <row r="178" spans="1:9" ht="21">
      <c r="A178" s="1">
        <v>175</v>
      </c>
      <c r="B178" s="261" t="s">
        <v>2784</v>
      </c>
      <c r="C178" s="317" t="s">
        <v>2794</v>
      </c>
      <c r="D178" s="350" t="s">
        <v>938</v>
      </c>
      <c r="E178" s="274" t="s">
        <v>2795</v>
      </c>
      <c r="F178" s="74" t="s">
        <v>2310</v>
      </c>
      <c r="H178" s="20">
        <v>4000000</v>
      </c>
      <c r="I178" s="20">
        <f>I177+Table145[[#This Row],[مبلغ ورود]]-Table145[[#This Row],[مبلغ خروج]]</f>
        <v>28133439101</v>
      </c>
    </row>
    <row r="179" spans="1:9" ht="21">
      <c r="A179" s="1">
        <v>176</v>
      </c>
      <c r="B179" s="261" t="s">
        <v>2796</v>
      </c>
      <c r="C179" s="317"/>
      <c r="D179" s="350" t="s">
        <v>938</v>
      </c>
      <c r="F179" s="74" t="s">
        <v>2672</v>
      </c>
      <c r="G179" s="73">
        <v>250000000000</v>
      </c>
      <c r="I179" s="20">
        <f>I178+Table145[[#This Row],[مبلغ ورود]]-Table145[[#This Row],[مبلغ خروج]]</f>
        <v>278133439101</v>
      </c>
    </row>
    <row r="180" spans="1:9" ht="37.5">
      <c r="A180" s="1">
        <v>177</v>
      </c>
      <c r="B180" s="261" t="s">
        <v>2796</v>
      </c>
      <c r="C180" s="317" t="s">
        <v>2797</v>
      </c>
      <c r="D180" s="350" t="s">
        <v>938</v>
      </c>
      <c r="E180" s="274" t="s">
        <v>2799</v>
      </c>
      <c r="F180" s="74" t="s">
        <v>2798</v>
      </c>
      <c r="H180" s="20">
        <v>7851755000</v>
      </c>
      <c r="I180" s="20">
        <f>I179+Table145[[#This Row],[مبلغ ورود]]-Table145[[#This Row],[مبلغ خروج]]</f>
        <v>270281684101</v>
      </c>
    </row>
    <row r="181" spans="1:9" ht="37.5">
      <c r="A181" s="1">
        <v>178</v>
      </c>
      <c r="B181" s="261" t="s">
        <v>2796</v>
      </c>
      <c r="C181" s="317" t="s">
        <v>2800</v>
      </c>
      <c r="D181" s="350" t="s">
        <v>938</v>
      </c>
      <c r="E181" s="274" t="s">
        <v>2801</v>
      </c>
      <c r="F181" s="74" t="s">
        <v>2802</v>
      </c>
      <c r="H181" s="20">
        <v>4069427800</v>
      </c>
      <c r="I181" s="20">
        <f>I180+Table145[[#This Row],[مبلغ ورود]]-Table145[[#This Row],[مبلغ خروج]]</f>
        <v>266212256301</v>
      </c>
    </row>
    <row r="182" spans="1:9" ht="37.5">
      <c r="A182" s="1">
        <v>179</v>
      </c>
      <c r="B182" s="261" t="s">
        <v>2796</v>
      </c>
      <c r="C182" s="317" t="s">
        <v>2804</v>
      </c>
      <c r="D182" s="350" t="s">
        <v>938</v>
      </c>
      <c r="E182" s="274" t="s">
        <v>2805</v>
      </c>
      <c r="F182" s="74" t="s">
        <v>2803</v>
      </c>
      <c r="G182" s="361"/>
      <c r="H182" s="20">
        <v>46564909000</v>
      </c>
      <c r="I182" s="20">
        <f>I181+Table145[[#This Row],[مبلغ ورود]]-Table145[[#This Row],[مبلغ خروج]]</f>
        <v>219647347301</v>
      </c>
    </row>
    <row r="183" spans="1:9" ht="37.5">
      <c r="A183" s="1">
        <v>180</v>
      </c>
      <c r="B183" s="261" t="s">
        <v>2796</v>
      </c>
      <c r="C183" s="317" t="s">
        <v>2806</v>
      </c>
      <c r="D183" s="350" t="s">
        <v>938</v>
      </c>
      <c r="E183" s="274" t="s">
        <v>2807</v>
      </c>
      <c r="F183" s="74" t="s">
        <v>2453</v>
      </c>
      <c r="G183" s="361"/>
      <c r="H183" s="20">
        <v>100000000000</v>
      </c>
      <c r="I183" s="20">
        <f>I182+Table145[[#This Row],[مبلغ ورود]]-Table145[[#This Row],[مبلغ خروج]]</f>
        <v>119647347301</v>
      </c>
    </row>
    <row r="184" spans="1:9" ht="37.5">
      <c r="A184" s="1">
        <v>181</v>
      </c>
      <c r="B184" s="261" t="s">
        <v>2796</v>
      </c>
      <c r="C184" s="317" t="s">
        <v>2808</v>
      </c>
      <c r="D184" s="350" t="s">
        <v>938</v>
      </c>
      <c r="E184" s="274" t="s">
        <v>2809</v>
      </c>
      <c r="F184" s="74" t="s">
        <v>2449</v>
      </c>
      <c r="G184" s="361"/>
      <c r="H184" s="20">
        <v>100000000000</v>
      </c>
      <c r="I184" s="20">
        <f>I183+Table145[[#This Row],[مبلغ ورود]]-Table145[[#This Row],[مبلغ خروج]]</f>
        <v>19647347301</v>
      </c>
    </row>
    <row r="185" spans="1:9" ht="21">
      <c r="A185" s="1">
        <v>182</v>
      </c>
      <c r="B185" s="261" t="s">
        <v>2784</v>
      </c>
      <c r="C185" s="360"/>
      <c r="D185" s="350" t="s">
        <v>938</v>
      </c>
      <c r="F185" s="74" t="s">
        <v>1561</v>
      </c>
      <c r="G185" s="361"/>
      <c r="H185" s="20">
        <v>250000</v>
      </c>
      <c r="I185" s="20">
        <f>I184+Table145[[#This Row],[مبلغ ورود]]-Table145[[#This Row],[مبلغ خروج]]</f>
        <v>19647097301</v>
      </c>
    </row>
    <row r="186" spans="1:9" ht="21">
      <c r="A186" s="1">
        <v>183</v>
      </c>
      <c r="B186" s="261" t="s">
        <v>2796</v>
      </c>
      <c r="C186" s="360"/>
      <c r="D186" s="350" t="s">
        <v>938</v>
      </c>
      <c r="F186" s="74" t="s">
        <v>1561</v>
      </c>
      <c r="G186" s="361"/>
      <c r="H186" s="20">
        <v>25000</v>
      </c>
      <c r="I186" s="20">
        <f>I185+Table145[[#This Row],[مبلغ ورود]]-Table145[[#This Row],[مبلغ خروج]]</f>
        <v>19647072301</v>
      </c>
    </row>
    <row r="187" spans="1:9" ht="21">
      <c r="A187" s="359">
        <v>185</v>
      </c>
      <c r="B187" s="261" t="s">
        <v>2810</v>
      </c>
      <c r="C187" s="360"/>
      <c r="D187" s="350" t="s">
        <v>938</v>
      </c>
      <c r="F187" s="74" t="s">
        <v>1561</v>
      </c>
      <c r="G187" s="361"/>
      <c r="H187" s="20">
        <f>250000+250000</f>
        <v>500000</v>
      </c>
      <c r="I187" s="20">
        <f>I186+Table145[[#This Row],[مبلغ ورود]]-Table145[[#This Row],[مبلغ خروج]]</f>
        <v>19646572301</v>
      </c>
    </row>
    <row r="188" spans="1:9" ht="21">
      <c r="A188" s="1">
        <v>186</v>
      </c>
      <c r="B188" s="261" t="s">
        <v>2811</v>
      </c>
      <c r="C188" s="317"/>
      <c r="D188" s="350" t="s">
        <v>938</v>
      </c>
      <c r="F188" s="74" t="s">
        <v>1561</v>
      </c>
      <c r="H188" s="20">
        <v>250000</v>
      </c>
      <c r="I188" s="20">
        <f>I187+Table145[[#This Row],[مبلغ ورود]]-Table145[[#This Row],[مبلغ خروج]]</f>
        <v>19646322301</v>
      </c>
    </row>
    <row r="189" spans="1:9" ht="21">
      <c r="A189" s="358">
        <v>187</v>
      </c>
      <c r="B189" s="261" t="s">
        <v>2813</v>
      </c>
      <c r="C189" s="356"/>
      <c r="D189" s="350" t="s">
        <v>938</v>
      </c>
      <c r="F189" s="74" t="s">
        <v>2205</v>
      </c>
      <c r="G189" s="357"/>
      <c r="H189" s="20">
        <v>110000</v>
      </c>
      <c r="I189" s="20">
        <f>I188+Table145[[#This Row],[مبلغ ورود]]-Table145[[#This Row],[مبلغ خروج]]</f>
        <v>19646212301</v>
      </c>
    </row>
    <row r="190" spans="1:9" ht="21">
      <c r="A190" s="358">
        <v>188</v>
      </c>
      <c r="B190" s="261" t="s">
        <v>2814</v>
      </c>
      <c r="C190" s="363"/>
      <c r="D190" s="350" t="s">
        <v>938</v>
      </c>
      <c r="F190" s="74" t="s">
        <v>2672</v>
      </c>
      <c r="G190" s="20">
        <v>50000000000</v>
      </c>
      <c r="I190" s="20">
        <f>I189+Table145[[#This Row],[مبلغ ورود]]-Table145[[#This Row],[مبلغ خروج]]</f>
        <v>69646212301</v>
      </c>
    </row>
    <row r="191" spans="1:9" ht="37.5">
      <c r="A191" s="358">
        <v>189</v>
      </c>
      <c r="B191" s="261" t="s">
        <v>2814</v>
      </c>
      <c r="C191" s="317" t="s">
        <v>2816</v>
      </c>
      <c r="D191" s="350" t="s">
        <v>938</v>
      </c>
      <c r="E191" s="274" t="s">
        <v>2817</v>
      </c>
      <c r="F191" s="74" t="s">
        <v>2815</v>
      </c>
      <c r="G191" s="365"/>
      <c r="H191" s="20">
        <v>11413330000</v>
      </c>
      <c r="I191" s="20">
        <f>I190+Table145[[#This Row],[مبلغ ورود]]-Table145[[#This Row],[مبلغ خروج]]</f>
        <v>58232882301</v>
      </c>
    </row>
    <row r="192" spans="1:9" ht="37.5">
      <c r="A192" s="358">
        <v>190</v>
      </c>
      <c r="B192" s="261" t="s">
        <v>2814</v>
      </c>
      <c r="C192" s="317" t="s">
        <v>2818</v>
      </c>
      <c r="D192" s="350" t="s">
        <v>938</v>
      </c>
      <c r="E192" s="274" t="s">
        <v>2819</v>
      </c>
      <c r="F192" s="74" t="s">
        <v>2820</v>
      </c>
      <c r="G192" s="365"/>
      <c r="H192" s="20">
        <v>344562080</v>
      </c>
      <c r="I192" s="20">
        <f>I191+Table145[[#This Row],[مبلغ ورود]]-Table145[[#This Row],[مبلغ خروج]]</f>
        <v>57888320221</v>
      </c>
    </row>
    <row r="193" spans="1:9" ht="37.5">
      <c r="A193" s="358">
        <v>191</v>
      </c>
      <c r="B193" s="261" t="s">
        <v>2814</v>
      </c>
      <c r="C193" s="317" t="s">
        <v>2821</v>
      </c>
      <c r="D193" s="350" t="s">
        <v>938</v>
      </c>
      <c r="E193" s="274" t="s">
        <v>2826</v>
      </c>
      <c r="F193" s="74" t="s">
        <v>2827</v>
      </c>
      <c r="G193" s="365"/>
      <c r="H193" s="20">
        <v>2040357304</v>
      </c>
      <c r="I193" s="20">
        <f>I192+Table145[[#This Row],[مبلغ ورود]]-Table145[[#This Row],[مبلغ خروج]]</f>
        <v>55847962917</v>
      </c>
    </row>
    <row r="194" spans="1:9" ht="37.5">
      <c r="A194" s="358">
        <v>192</v>
      </c>
      <c r="B194" s="261" t="s">
        <v>2814</v>
      </c>
      <c r="C194" s="317" t="s">
        <v>2822</v>
      </c>
      <c r="D194" s="350" t="s">
        <v>938</v>
      </c>
      <c r="E194" s="274" t="s">
        <v>2828</v>
      </c>
      <c r="F194" s="74" t="s">
        <v>2829</v>
      </c>
      <c r="G194" s="365"/>
      <c r="H194" s="20">
        <v>13911040000</v>
      </c>
      <c r="I194" s="20">
        <f>I193+Table145[[#This Row],[مبلغ ورود]]-Table145[[#This Row],[مبلغ خروج]]</f>
        <v>41936922917</v>
      </c>
    </row>
    <row r="195" spans="1:9" ht="37.5">
      <c r="A195" s="358">
        <v>193</v>
      </c>
      <c r="B195" s="261" t="s">
        <v>2814</v>
      </c>
      <c r="C195" s="317" t="s">
        <v>2823</v>
      </c>
      <c r="D195" s="350" t="s">
        <v>938</v>
      </c>
      <c r="E195" s="274" t="s">
        <v>2830</v>
      </c>
      <c r="F195" s="74" t="s">
        <v>2831</v>
      </c>
      <c r="G195" s="365"/>
      <c r="H195" s="20">
        <v>2000000000</v>
      </c>
      <c r="I195" s="20">
        <f>I194+Table145[[#This Row],[مبلغ ورود]]-Table145[[#This Row],[مبلغ خروج]]</f>
        <v>39936922917</v>
      </c>
    </row>
    <row r="196" spans="1:9" ht="37.5">
      <c r="A196" s="358">
        <v>194</v>
      </c>
      <c r="B196" s="261" t="s">
        <v>2814</v>
      </c>
      <c r="C196" s="317" t="s">
        <v>2824</v>
      </c>
      <c r="D196" s="350" t="s">
        <v>938</v>
      </c>
      <c r="E196" s="274" t="s">
        <v>2832</v>
      </c>
      <c r="F196" s="74" t="s">
        <v>2449</v>
      </c>
      <c r="G196" s="365"/>
      <c r="H196" s="20">
        <v>29000000000</v>
      </c>
      <c r="I196" s="20">
        <f>I195+Table145[[#This Row],[مبلغ ورود]]-Table145[[#This Row],[مبلغ خروج]]</f>
        <v>10936922917</v>
      </c>
    </row>
    <row r="197" spans="1:9" ht="21">
      <c r="A197" s="358">
        <v>195</v>
      </c>
      <c r="B197" s="261" t="s">
        <v>2814</v>
      </c>
      <c r="C197" s="317" t="s">
        <v>2825</v>
      </c>
      <c r="D197" s="350" t="s">
        <v>938</v>
      </c>
      <c r="E197" s="274" t="s">
        <v>2838</v>
      </c>
      <c r="F197" s="74" t="s">
        <v>2835</v>
      </c>
      <c r="G197" s="365"/>
      <c r="H197" s="20">
        <v>7000000000</v>
      </c>
      <c r="I197" s="20">
        <f>I196+Table145[[#This Row],[مبلغ ورود]]-Table145[[#This Row],[مبلغ خروج]]</f>
        <v>3936922917</v>
      </c>
    </row>
    <row r="198" spans="1:9" ht="21">
      <c r="A198" s="358">
        <v>196</v>
      </c>
      <c r="B198" s="261" t="s">
        <v>2842</v>
      </c>
      <c r="C198" s="317" t="s">
        <v>2836</v>
      </c>
      <c r="D198" s="350" t="s">
        <v>938</v>
      </c>
      <c r="E198" s="274" t="s">
        <v>2839</v>
      </c>
      <c r="F198" s="74" t="s">
        <v>2833</v>
      </c>
      <c r="G198" s="365"/>
      <c r="H198" s="20">
        <v>1559397137</v>
      </c>
      <c r="I198" s="20">
        <f>I197+Table145[[#This Row],[مبلغ ورود]]-Table145[[#This Row],[مبلغ خروج]]</f>
        <v>2377525780</v>
      </c>
    </row>
    <row r="199" spans="1:9" ht="21">
      <c r="A199" s="358">
        <v>197</v>
      </c>
      <c r="B199" s="261" t="s">
        <v>2842</v>
      </c>
      <c r="C199" s="317" t="s">
        <v>2837</v>
      </c>
      <c r="D199" s="350" t="s">
        <v>938</v>
      </c>
      <c r="E199" s="274" t="s">
        <v>2840</v>
      </c>
      <c r="F199" s="74" t="s">
        <v>2834</v>
      </c>
      <c r="G199" s="365"/>
      <c r="H199" s="20">
        <v>313539042</v>
      </c>
      <c r="I199" s="20">
        <f>I198+Table145[[#This Row],[مبلغ ورود]]-Table145[[#This Row],[مبلغ خروج]]</f>
        <v>2063986738</v>
      </c>
    </row>
    <row r="200" spans="1:9" ht="37.5">
      <c r="A200" s="358">
        <v>198</v>
      </c>
      <c r="B200" s="261" t="s">
        <v>2842</v>
      </c>
      <c r="C200" s="317" t="s">
        <v>2841</v>
      </c>
      <c r="D200" s="350" t="s">
        <v>938</v>
      </c>
      <c r="E200" s="274" t="s">
        <v>2843</v>
      </c>
      <c r="F200" s="74" t="s">
        <v>2844</v>
      </c>
      <c r="G200" s="365"/>
      <c r="H200" s="20">
        <v>482870000</v>
      </c>
      <c r="I200" s="20">
        <f>I199+Table145[[#This Row],[مبلغ ورود]]-Table145[[#This Row],[مبلغ خروج]]</f>
        <v>1581116738</v>
      </c>
    </row>
    <row r="201" spans="1:9" ht="21">
      <c r="A201" s="358">
        <v>199</v>
      </c>
      <c r="B201" s="261" t="s">
        <v>2842</v>
      </c>
      <c r="C201" s="317"/>
      <c r="D201" s="350" t="s">
        <v>938</v>
      </c>
      <c r="F201" s="74" t="s">
        <v>2845</v>
      </c>
      <c r="G201" s="365">
        <v>73741000000</v>
      </c>
      <c r="I201" s="20">
        <f>I200+Table145[[#This Row],[مبلغ ورود]]-Table145[[#This Row],[مبلغ خروج]]</f>
        <v>75322116738</v>
      </c>
    </row>
    <row r="202" spans="1:9" ht="21">
      <c r="A202" s="358">
        <v>200</v>
      </c>
      <c r="B202" s="261" t="s">
        <v>2842</v>
      </c>
      <c r="C202" s="317" t="s">
        <v>2846</v>
      </c>
      <c r="D202" s="350" t="s">
        <v>938</v>
      </c>
      <c r="E202" s="274" t="s">
        <v>2847</v>
      </c>
      <c r="F202" s="74" t="s">
        <v>2848</v>
      </c>
      <c r="G202" s="365"/>
      <c r="H202" s="20">
        <v>1000000000</v>
      </c>
      <c r="I202" s="20">
        <f>I201+Table145[[#This Row],[مبلغ ورود]]-Table145[[#This Row],[مبلغ خروج]]</f>
        <v>74322116738</v>
      </c>
    </row>
    <row r="203" spans="1:9" ht="37.5">
      <c r="A203" s="358">
        <v>201</v>
      </c>
      <c r="B203" s="261" t="s">
        <v>2842</v>
      </c>
      <c r="C203" s="317" t="s">
        <v>2850</v>
      </c>
      <c r="D203" s="350" t="s">
        <v>938</v>
      </c>
      <c r="E203" s="274" t="s">
        <v>2849</v>
      </c>
      <c r="F203" s="74" t="s">
        <v>2762</v>
      </c>
      <c r="G203" s="365"/>
      <c r="H203" s="20">
        <v>319135604</v>
      </c>
      <c r="I203" s="20">
        <f>I202+Table145[[#This Row],[مبلغ ورود]]-Table145[[#This Row],[مبلغ خروج]]</f>
        <v>74002981134</v>
      </c>
    </row>
    <row r="204" spans="1:9" ht="37.5">
      <c r="A204" s="358">
        <v>202</v>
      </c>
      <c r="B204" s="261" t="s">
        <v>2852</v>
      </c>
      <c r="C204" s="317" t="s">
        <v>2851</v>
      </c>
      <c r="D204" s="350" t="s">
        <v>938</v>
      </c>
      <c r="E204" s="274" t="s">
        <v>2860</v>
      </c>
      <c r="F204" s="74" t="s">
        <v>2859</v>
      </c>
      <c r="G204" s="365"/>
      <c r="H204" s="20">
        <v>354550000</v>
      </c>
      <c r="I204" s="20">
        <f>I203+Table145[[#This Row],[مبلغ ورود]]-Table145[[#This Row],[مبلغ خروج]]</f>
        <v>73648431134</v>
      </c>
    </row>
    <row r="205" spans="1:9" ht="37.5">
      <c r="A205" s="358">
        <v>203</v>
      </c>
      <c r="B205" s="261" t="s">
        <v>2852</v>
      </c>
      <c r="C205" s="317" t="s">
        <v>2853</v>
      </c>
      <c r="D205" s="350" t="s">
        <v>938</v>
      </c>
      <c r="E205" s="274" t="s">
        <v>2862</v>
      </c>
      <c r="F205" s="74" t="s">
        <v>2861</v>
      </c>
      <c r="G205" s="367"/>
      <c r="H205" s="20">
        <v>30444770000</v>
      </c>
      <c r="I205" s="20">
        <f>I204+Table145[[#This Row],[مبلغ ورود]]-Table145[[#This Row],[مبلغ خروج]]</f>
        <v>43203661134</v>
      </c>
    </row>
    <row r="206" spans="1:9" ht="37.5">
      <c r="A206" s="358">
        <v>204</v>
      </c>
      <c r="B206" s="261" t="s">
        <v>2852</v>
      </c>
      <c r="C206" s="317" t="s">
        <v>2854</v>
      </c>
      <c r="D206" s="350" t="s">
        <v>938</v>
      </c>
      <c r="E206" s="274" t="s">
        <v>2864</v>
      </c>
      <c r="F206" s="74" t="s">
        <v>2863</v>
      </c>
      <c r="G206" s="367"/>
      <c r="H206" s="20">
        <v>231072000</v>
      </c>
      <c r="I206" s="20">
        <f>I205+Table145[[#This Row],[مبلغ ورود]]-Table145[[#This Row],[مبلغ خروج]]</f>
        <v>42972589134</v>
      </c>
    </row>
    <row r="207" spans="1:9" ht="37.5">
      <c r="A207" s="358">
        <v>205</v>
      </c>
      <c r="B207" s="261" t="s">
        <v>2852</v>
      </c>
      <c r="C207" s="317" t="s">
        <v>2855</v>
      </c>
      <c r="D207" s="350" t="s">
        <v>938</v>
      </c>
      <c r="E207" s="274" t="s">
        <v>2865</v>
      </c>
      <c r="F207" s="74" t="s">
        <v>2866</v>
      </c>
      <c r="G207" s="367"/>
      <c r="H207" s="20">
        <v>6202478130</v>
      </c>
      <c r="I207" s="20">
        <f>I206+Table145[[#This Row],[مبلغ ورود]]-Table145[[#This Row],[مبلغ خروج]]</f>
        <v>36770111004</v>
      </c>
    </row>
    <row r="208" spans="1:9" ht="37.5">
      <c r="A208" s="358">
        <v>206</v>
      </c>
      <c r="B208" s="261" t="s">
        <v>2852</v>
      </c>
      <c r="C208" s="317" t="s">
        <v>2856</v>
      </c>
      <c r="D208" s="350" t="s">
        <v>938</v>
      </c>
      <c r="E208" s="274" t="s">
        <v>2867</v>
      </c>
      <c r="F208" s="74" t="s">
        <v>2868</v>
      </c>
      <c r="G208" s="367"/>
      <c r="H208" s="20">
        <v>2530980000</v>
      </c>
      <c r="I208" s="20">
        <f>I207+Table145[[#This Row],[مبلغ ورود]]-Table145[[#This Row],[مبلغ خروج]]</f>
        <v>34239131004</v>
      </c>
    </row>
    <row r="209" spans="1:9" ht="37.5">
      <c r="A209" s="358">
        <v>207</v>
      </c>
      <c r="B209" s="261" t="s">
        <v>2852</v>
      </c>
      <c r="C209" s="317" t="s">
        <v>2857</v>
      </c>
      <c r="D209" s="350" t="s">
        <v>938</v>
      </c>
      <c r="E209" s="274" t="s">
        <v>2869</v>
      </c>
      <c r="F209" s="74" t="s">
        <v>2870</v>
      </c>
      <c r="G209" s="367"/>
      <c r="H209" s="20">
        <v>1830426000</v>
      </c>
      <c r="I209" s="20">
        <f>I208+Table145[[#This Row],[مبلغ ورود]]-Table145[[#This Row],[مبلغ خروج]]</f>
        <v>32408705004</v>
      </c>
    </row>
    <row r="210" spans="1:9" ht="37.5">
      <c r="A210" s="358">
        <v>208</v>
      </c>
      <c r="B210" s="261" t="s">
        <v>2852</v>
      </c>
      <c r="C210" s="317" t="s">
        <v>2858</v>
      </c>
      <c r="D210" s="350" t="s">
        <v>938</v>
      </c>
      <c r="E210" s="274" t="s">
        <v>2871</v>
      </c>
      <c r="F210" s="74" t="s">
        <v>2449</v>
      </c>
      <c r="G210" s="367"/>
      <c r="H210" s="20">
        <v>32000000000</v>
      </c>
      <c r="I210" s="20">
        <f>I209+Table145[[#This Row],[مبلغ ورود]]-Table145[[#This Row],[مبلغ خروج]]</f>
        <v>408705004</v>
      </c>
    </row>
    <row r="211" spans="1:9" ht="21">
      <c r="A211" s="358">
        <v>209</v>
      </c>
      <c r="B211" s="261" t="s">
        <v>2873</v>
      </c>
      <c r="C211" s="317" t="s">
        <v>2872</v>
      </c>
      <c r="D211" s="350" t="s">
        <v>938</v>
      </c>
      <c r="E211" s="274" t="s">
        <v>2874</v>
      </c>
      <c r="F211" s="197" t="s">
        <v>2875</v>
      </c>
      <c r="G211" s="367"/>
      <c r="H211" s="20">
        <v>100000000</v>
      </c>
      <c r="I211" s="20">
        <f>I210+Table145[[#This Row],[مبلغ ورود]]-Table145[[#This Row],[مبلغ خروج]]</f>
        <v>308705004</v>
      </c>
    </row>
    <row r="212" spans="1:9" ht="21">
      <c r="A212" s="358">
        <v>210</v>
      </c>
      <c r="B212" s="261" t="s">
        <v>2873</v>
      </c>
      <c r="C212" s="366"/>
      <c r="D212" s="350" t="s">
        <v>938</v>
      </c>
      <c r="F212" s="74" t="s">
        <v>1778</v>
      </c>
      <c r="G212" s="20">
        <v>100000000000</v>
      </c>
      <c r="I212" s="20">
        <f>I211+Table145[[#This Row],[مبلغ ورود]]-Table145[[#This Row],[مبلغ خروج]]</f>
        <v>100308705004</v>
      </c>
    </row>
    <row r="213" spans="1:9" ht="37.5">
      <c r="A213" s="358">
        <v>211</v>
      </c>
      <c r="B213" s="261" t="s">
        <v>2873</v>
      </c>
      <c r="C213" s="317" t="s">
        <v>2876</v>
      </c>
      <c r="D213" s="350" t="s">
        <v>938</v>
      </c>
      <c r="E213" s="274" t="s">
        <v>2879</v>
      </c>
      <c r="F213" s="74" t="s">
        <v>2880</v>
      </c>
      <c r="G213" s="367"/>
      <c r="H213" s="20">
        <v>25548068864</v>
      </c>
      <c r="I213" s="20">
        <f>I212+Table145[[#This Row],[مبلغ ورود]]-Table145[[#This Row],[مبلغ خروج]]</f>
        <v>74760636140</v>
      </c>
    </row>
    <row r="214" spans="1:9" ht="37.5">
      <c r="A214" s="358">
        <v>212</v>
      </c>
      <c r="B214" s="261" t="s">
        <v>2873</v>
      </c>
      <c r="C214" s="317" t="s">
        <v>2877</v>
      </c>
      <c r="D214" s="350" t="s">
        <v>938</v>
      </c>
      <c r="E214" s="274" t="s">
        <v>2881</v>
      </c>
      <c r="F214" s="74" t="s">
        <v>2882</v>
      </c>
      <c r="G214" s="367"/>
      <c r="H214" s="20">
        <v>32192060000</v>
      </c>
      <c r="I214" s="20">
        <f>I213+Table145[[#This Row],[مبلغ ورود]]-Table145[[#This Row],[مبلغ خروج]]</f>
        <v>42568576140</v>
      </c>
    </row>
    <row r="215" spans="1:9" ht="37.5">
      <c r="A215" s="358">
        <v>213</v>
      </c>
      <c r="B215" s="261" t="s">
        <v>2883</v>
      </c>
      <c r="C215" s="317" t="s">
        <v>2878</v>
      </c>
      <c r="D215" s="350" t="s">
        <v>938</v>
      </c>
      <c r="E215" s="274" t="s">
        <v>2884</v>
      </c>
      <c r="F215" s="74" t="s">
        <v>2449</v>
      </c>
      <c r="G215" s="20"/>
      <c r="H215" s="20">
        <v>35000000000</v>
      </c>
      <c r="I215" s="20">
        <f>I214+Table145[[#This Row],[مبلغ ورود]]-Table145[[#This Row],[مبلغ خروج]]</f>
        <v>7568576140</v>
      </c>
    </row>
    <row r="216" spans="1:9" ht="21">
      <c r="A216" s="358">
        <v>214</v>
      </c>
      <c r="B216" s="261" t="s">
        <v>2842</v>
      </c>
      <c r="C216" s="366"/>
      <c r="D216" s="350" t="s">
        <v>938</v>
      </c>
      <c r="F216" s="74" t="s">
        <v>2885</v>
      </c>
      <c r="G216" s="20">
        <v>90852711</v>
      </c>
      <c r="I216" s="20">
        <f>I215+Table145[[#This Row],[مبلغ ورود]]-Table145[[#This Row],[مبلغ خروج]]</f>
        <v>7659428851</v>
      </c>
    </row>
    <row r="217" spans="1:9" ht="21">
      <c r="A217" s="358">
        <v>215</v>
      </c>
      <c r="B217" s="261" t="s">
        <v>2887</v>
      </c>
      <c r="C217" s="366"/>
      <c r="D217" s="350" t="s">
        <v>938</v>
      </c>
      <c r="F217" s="74" t="s">
        <v>2886</v>
      </c>
      <c r="G217" s="20">
        <v>222278847</v>
      </c>
      <c r="I217" s="20">
        <f>I216+Table145[[#This Row],[مبلغ ورود]]-Table145[[#This Row],[مبلغ خروج]]</f>
        <v>7881707698</v>
      </c>
    </row>
    <row r="218" spans="1:9" ht="21">
      <c r="A218" s="358">
        <v>216</v>
      </c>
      <c r="B218" s="261" t="s">
        <v>2887</v>
      </c>
      <c r="C218" s="366"/>
      <c r="D218" s="350" t="s">
        <v>938</v>
      </c>
      <c r="F218" s="74" t="s">
        <v>2893</v>
      </c>
      <c r="G218" s="220">
        <v>824350639</v>
      </c>
      <c r="I218" s="20">
        <f>I217+Table145[[#This Row],[مبلغ ورود]]-Table145[[#This Row],[مبلغ خروج]]</f>
        <v>8706058337</v>
      </c>
    </row>
    <row r="219" spans="1:9" ht="21">
      <c r="A219" s="358">
        <v>217</v>
      </c>
      <c r="B219" s="261" t="s">
        <v>2842</v>
      </c>
      <c r="C219" s="366"/>
      <c r="D219" s="350" t="s">
        <v>938</v>
      </c>
      <c r="F219" s="74" t="s">
        <v>1561</v>
      </c>
      <c r="G219" s="20"/>
      <c r="H219" s="20">
        <f>250000+200000</f>
        <v>450000</v>
      </c>
      <c r="I219" s="20">
        <f>I218+Table145[[#This Row],[مبلغ ورود]]-Table145[[#This Row],[مبلغ خروج]]</f>
        <v>8705608337</v>
      </c>
    </row>
    <row r="220" spans="1:9" ht="21">
      <c r="A220" s="358">
        <v>218</v>
      </c>
      <c r="B220" s="261" t="s">
        <v>2873</v>
      </c>
      <c r="C220" s="366"/>
      <c r="D220" s="350" t="s">
        <v>938</v>
      </c>
      <c r="F220" s="74" t="s">
        <v>2274</v>
      </c>
      <c r="G220" s="20"/>
      <c r="H220" s="20">
        <f>25000+23107+250000+250000</f>
        <v>548107</v>
      </c>
      <c r="I220" s="20">
        <f>I219+Table145[[#This Row],[مبلغ ورود]]-Table145[[#This Row],[مبلغ خروج]]</f>
        <v>8705060230</v>
      </c>
    </row>
    <row r="221" spans="1:9" ht="21">
      <c r="A221" s="358">
        <v>219</v>
      </c>
      <c r="B221" s="261" t="s">
        <v>2842</v>
      </c>
      <c r="C221" s="366"/>
      <c r="D221" s="350" t="s">
        <v>938</v>
      </c>
      <c r="F221" s="74" t="s">
        <v>1990</v>
      </c>
      <c r="G221" s="367"/>
      <c r="H221" s="220">
        <v>15900</v>
      </c>
      <c r="I221" s="20">
        <f>I220+Table145[[#This Row],[مبلغ ورود]]-Table145[[#This Row],[مبلغ خروج]]</f>
        <v>8705044330</v>
      </c>
    </row>
    <row r="222" spans="1:9" ht="37.5">
      <c r="A222" s="358">
        <v>220</v>
      </c>
      <c r="B222" s="261" t="s">
        <v>2888</v>
      </c>
      <c r="C222" s="317" t="s">
        <v>2889</v>
      </c>
      <c r="D222" s="350" t="s">
        <v>938</v>
      </c>
      <c r="E222" s="274" t="s">
        <v>2890</v>
      </c>
      <c r="F222" s="74" t="s">
        <v>2891</v>
      </c>
      <c r="G222" s="367"/>
      <c r="H222" s="20">
        <v>7821569925</v>
      </c>
      <c r="I222" s="20">
        <f>I221+Table145[[#This Row],[مبلغ ورود]]-Table145[[#This Row],[مبلغ خروج]]</f>
        <v>883474405</v>
      </c>
    </row>
    <row r="223" spans="1:9" ht="21">
      <c r="A223" s="358">
        <v>221</v>
      </c>
      <c r="B223" s="261" t="s">
        <v>2883</v>
      </c>
      <c r="C223" s="366"/>
      <c r="D223" s="350" t="s">
        <v>938</v>
      </c>
      <c r="F223" s="74" t="s">
        <v>1561</v>
      </c>
      <c r="G223" s="367"/>
      <c r="H223" s="20">
        <f>250000+250000</f>
        <v>500000</v>
      </c>
      <c r="I223" s="20">
        <f>I222+Table145[[#This Row],[مبلغ ورود]]-Table145[[#This Row],[مبلغ خروج]]</f>
        <v>882974405</v>
      </c>
    </row>
    <row r="224" spans="1:9" ht="21">
      <c r="A224" s="358">
        <v>222</v>
      </c>
      <c r="B224" s="261" t="s">
        <v>2888</v>
      </c>
      <c r="C224" s="366"/>
      <c r="D224" s="350" t="s">
        <v>938</v>
      </c>
      <c r="F224" s="74" t="s">
        <v>1561</v>
      </c>
      <c r="G224" s="367"/>
      <c r="H224" s="20">
        <v>250000</v>
      </c>
      <c r="I224" s="20">
        <f>I223+Table145[[#This Row],[مبلغ ورود]]-Table145[[#This Row],[مبلغ خروج]]</f>
        <v>882724405</v>
      </c>
    </row>
    <row r="225" spans="1:9" ht="21">
      <c r="A225" s="358">
        <v>223</v>
      </c>
      <c r="B225" s="261" t="s">
        <v>2883</v>
      </c>
      <c r="C225" s="366"/>
      <c r="D225" s="350" t="s">
        <v>938</v>
      </c>
      <c r="F225" s="74" t="s">
        <v>2892</v>
      </c>
      <c r="G225" s="20">
        <v>60000000</v>
      </c>
      <c r="I225" s="20">
        <f>I224+Table145[[#This Row],[مبلغ ورود]]-Table145[[#This Row],[مبلغ خروج]]</f>
        <v>942724405</v>
      </c>
    </row>
    <row r="226" spans="1:9" ht="21">
      <c r="A226" s="358">
        <v>224</v>
      </c>
      <c r="B226" s="261" t="s">
        <v>2888</v>
      </c>
      <c r="C226" s="366"/>
      <c r="D226" s="350" t="s">
        <v>938</v>
      </c>
      <c r="F226" s="74" t="s">
        <v>2672</v>
      </c>
      <c r="G226" s="20">
        <v>60000000000</v>
      </c>
      <c r="I226" s="20">
        <f>I225+Table145[[#This Row],[مبلغ ورود]]-Table145[[#This Row],[مبلغ خروج]]</f>
        <v>60942724405</v>
      </c>
    </row>
    <row r="227" spans="1:9" ht="37.5">
      <c r="A227" s="358">
        <v>225</v>
      </c>
      <c r="B227" s="261" t="s">
        <v>2895</v>
      </c>
      <c r="C227" s="317" t="s">
        <v>2894</v>
      </c>
      <c r="D227" s="350" t="s">
        <v>938</v>
      </c>
      <c r="E227" s="274" t="s">
        <v>2896</v>
      </c>
      <c r="F227" s="74" t="s">
        <v>2897</v>
      </c>
      <c r="G227" s="20"/>
      <c r="H227" s="20">
        <v>1151339523</v>
      </c>
      <c r="I227" s="20">
        <f>I226+Table145[[#This Row],[مبلغ ورود]]-Table145[[#This Row],[مبلغ خروج]]</f>
        <v>59791384882</v>
      </c>
    </row>
    <row r="228" spans="1:9" ht="21">
      <c r="A228" s="358">
        <v>226</v>
      </c>
      <c r="B228" s="261" t="s">
        <v>2895</v>
      </c>
      <c r="C228" s="317" t="s">
        <v>2898</v>
      </c>
      <c r="D228" s="350" t="s">
        <v>938</v>
      </c>
      <c r="E228" s="274" t="s">
        <v>2900</v>
      </c>
      <c r="F228" s="74" t="s">
        <v>2899</v>
      </c>
      <c r="G228" s="20"/>
      <c r="H228" s="20">
        <v>212550000</v>
      </c>
      <c r="I228" s="20">
        <f>I227+Table145[[#This Row],[مبلغ ورود]]-Table145[[#This Row],[مبلغ خروج]]</f>
        <v>59578834882</v>
      </c>
    </row>
    <row r="229" spans="1:9" ht="21">
      <c r="A229" s="358">
        <v>227</v>
      </c>
      <c r="B229" s="261" t="s">
        <v>2895</v>
      </c>
      <c r="C229" s="317" t="s">
        <v>2901</v>
      </c>
      <c r="D229" s="350" t="s">
        <v>938</v>
      </c>
      <c r="E229" s="274" t="s">
        <v>2903</v>
      </c>
      <c r="F229" s="74" t="s">
        <v>2586</v>
      </c>
      <c r="G229" s="365"/>
      <c r="H229" s="20">
        <v>0</v>
      </c>
      <c r="I229" s="20">
        <f>I228+Table145[[#This Row],[مبلغ ورود]]-Table145[[#This Row],[مبلغ خروج]]</f>
        <v>59578834882</v>
      </c>
    </row>
    <row r="230" spans="1:9" ht="37.5">
      <c r="A230" s="358">
        <v>228</v>
      </c>
      <c r="B230" s="261" t="s">
        <v>2895</v>
      </c>
      <c r="C230" s="317" t="s">
        <v>2902</v>
      </c>
      <c r="D230" s="350" t="s">
        <v>938</v>
      </c>
      <c r="E230" s="274" t="s">
        <v>2904</v>
      </c>
      <c r="F230" s="74" t="s">
        <v>2905</v>
      </c>
      <c r="G230" s="365"/>
      <c r="H230" s="20">
        <v>500310000</v>
      </c>
      <c r="I230" s="20">
        <f>I229+Table145[[#This Row],[مبلغ ورود]]-Table145[[#This Row],[مبلغ خروج]]</f>
        <v>59078524882</v>
      </c>
    </row>
    <row r="231" spans="1:9" ht="21">
      <c r="A231" s="358">
        <v>229</v>
      </c>
      <c r="B231" s="261" t="s">
        <v>2907</v>
      </c>
      <c r="C231" s="317"/>
      <c r="D231" s="350" t="s">
        <v>938</v>
      </c>
      <c r="F231" s="74" t="s">
        <v>2906</v>
      </c>
      <c r="G231" s="365">
        <v>90786874</v>
      </c>
      <c r="H231" s="20">
        <v>0</v>
      </c>
      <c r="I231" s="20">
        <f>I230+Table145[[#This Row],[مبلغ ورود]]-Table145[[#This Row],[مبلغ خروج]]</f>
        <v>59169311756</v>
      </c>
    </row>
    <row r="232" spans="1:9" ht="21">
      <c r="A232" s="358">
        <v>230</v>
      </c>
      <c r="B232" s="261" t="s">
        <v>2908</v>
      </c>
      <c r="C232" s="317"/>
      <c r="D232" s="350" t="s">
        <v>938</v>
      </c>
      <c r="F232" s="74" t="s">
        <v>1694</v>
      </c>
      <c r="H232" s="20">
        <v>21255</v>
      </c>
      <c r="I232" s="20">
        <f>I231+Table145[[#This Row],[مبلغ ورود]]-Table145[[#This Row],[مبلغ خروج]]</f>
        <v>59169290501</v>
      </c>
    </row>
    <row r="233" spans="1:9" ht="21">
      <c r="A233" s="1"/>
      <c r="B233" s="261" t="s">
        <v>2909</v>
      </c>
      <c r="C233" s="317"/>
      <c r="D233" s="350" t="s">
        <v>938</v>
      </c>
      <c r="F233" s="74" t="s">
        <v>2672</v>
      </c>
      <c r="G233" s="73">
        <v>100000000000</v>
      </c>
      <c r="I233" s="20">
        <f>I232+Table145[[#This Row],[مبلغ ورود]]-Table145[[#This Row],[مبلغ خروج]]</f>
        <v>159169290501</v>
      </c>
    </row>
    <row r="234" spans="1:9" ht="37.5">
      <c r="A234" s="358">
        <v>231</v>
      </c>
      <c r="B234" s="261" t="s">
        <v>2909</v>
      </c>
      <c r="C234" s="317" t="s">
        <v>2910</v>
      </c>
      <c r="D234" s="350" t="s">
        <v>938</v>
      </c>
      <c r="E234" s="274" t="s">
        <v>2918</v>
      </c>
      <c r="F234" s="74" t="s">
        <v>2926</v>
      </c>
      <c r="H234" s="20">
        <v>25994756000</v>
      </c>
      <c r="I234" s="20">
        <f>I233+Table145[[#This Row],[مبلغ ورود]]-Table145[[#This Row],[مبلغ خروج]]</f>
        <v>133174534501</v>
      </c>
    </row>
    <row r="235" spans="1:9" ht="37.5">
      <c r="A235" s="358">
        <v>232</v>
      </c>
      <c r="B235" s="261" t="s">
        <v>2909</v>
      </c>
      <c r="C235" s="317" t="s">
        <v>2911</v>
      </c>
      <c r="D235" s="350" t="s">
        <v>938</v>
      </c>
      <c r="E235" s="274" t="s">
        <v>2919</v>
      </c>
      <c r="F235" s="74" t="s">
        <v>2927</v>
      </c>
      <c r="H235" s="20">
        <v>1996217958</v>
      </c>
      <c r="I235" s="20">
        <f>I234+Table145[[#This Row],[مبلغ ورود]]-Table145[[#This Row],[مبلغ خروج]]</f>
        <v>131178316543</v>
      </c>
    </row>
    <row r="236" spans="1:9" ht="37.5">
      <c r="A236" s="358">
        <v>233</v>
      </c>
      <c r="B236" s="261" t="s">
        <v>2909</v>
      </c>
      <c r="C236" s="317" t="s">
        <v>2912</v>
      </c>
      <c r="D236" s="350" t="s">
        <v>938</v>
      </c>
      <c r="E236" s="274" t="s">
        <v>2920</v>
      </c>
      <c r="F236" s="74" t="s">
        <v>2928</v>
      </c>
      <c r="H236" s="20">
        <v>909705212</v>
      </c>
      <c r="I236" s="20">
        <f>I235+Table145[[#This Row],[مبلغ ورود]]-Table145[[#This Row],[مبلغ خروج]]</f>
        <v>130268611331</v>
      </c>
    </row>
    <row r="237" spans="1:9" ht="37.5">
      <c r="A237" s="358">
        <v>234</v>
      </c>
      <c r="B237" s="261" t="s">
        <v>2909</v>
      </c>
      <c r="C237" s="317" t="s">
        <v>2913</v>
      </c>
      <c r="D237" s="350" t="s">
        <v>938</v>
      </c>
      <c r="E237" s="274" t="s">
        <v>2921</v>
      </c>
      <c r="F237" s="74" t="s">
        <v>2929</v>
      </c>
      <c r="H237" s="20">
        <v>2516356446</v>
      </c>
      <c r="I237" s="20">
        <f>I236+Table145[[#This Row],[مبلغ ورود]]-Table145[[#This Row],[مبلغ خروج]]</f>
        <v>127752254885</v>
      </c>
    </row>
    <row r="238" spans="1:9" ht="37.5">
      <c r="A238" s="358">
        <v>235</v>
      </c>
      <c r="B238" s="261" t="s">
        <v>2909</v>
      </c>
      <c r="C238" s="317" t="s">
        <v>2914</v>
      </c>
      <c r="D238" s="350" t="s">
        <v>938</v>
      </c>
      <c r="E238" s="274" t="s">
        <v>2922</v>
      </c>
      <c r="F238" s="74" t="s">
        <v>2449</v>
      </c>
      <c r="H238" s="20">
        <v>80000000000</v>
      </c>
      <c r="I238" s="20">
        <f>I237+Table145[[#This Row],[مبلغ ورود]]-Table145[[#This Row],[مبلغ خروج]]</f>
        <v>47752254885</v>
      </c>
    </row>
    <row r="239" spans="1:9" ht="37.5">
      <c r="A239" s="358">
        <v>236</v>
      </c>
      <c r="B239" s="261" t="s">
        <v>2909</v>
      </c>
      <c r="C239" s="317" t="s">
        <v>2915</v>
      </c>
      <c r="D239" s="350" t="s">
        <v>938</v>
      </c>
      <c r="E239" s="274" t="s">
        <v>2923</v>
      </c>
      <c r="F239" s="74" t="s">
        <v>2453</v>
      </c>
      <c r="H239" s="20">
        <v>30000000000</v>
      </c>
      <c r="I239" s="20">
        <f>I238+Table145[[#This Row],[مبلغ ورود]]-Table145[[#This Row],[مبلغ خروج]]</f>
        <v>17752254885</v>
      </c>
    </row>
    <row r="240" spans="1:9" ht="21">
      <c r="A240" s="368"/>
      <c r="B240" s="261" t="s">
        <v>2931</v>
      </c>
      <c r="C240" s="369"/>
      <c r="D240" s="350" t="s">
        <v>938</v>
      </c>
      <c r="F240" s="74" t="s">
        <v>2672</v>
      </c>
      <c r="G240" s="20">
        <v>150000000000</v>
      </c>
      <c r="I240" s="20">
        <f>I239+Table145[[#This Row],[مبلغ ورود]]-Table145[[#This Row],[مبلغ خروج]]</f>
        <v>167752254885</v>
      </c>
    </row>
    <row r="241" spans="1:9" ht="37.5">
      <c r="A241" s="358">
        <v>237</v>
      </c>
      <c r="B241" s="261" t="s">
        <v>2931</v>
      </c>
      <c r="C241" s="317" t="s">
        <v>2916</v>
      </c>
      <c r="D241" s="350" t="s">
        <v>938</v>
      </c>
      <c r="E241" s="274" t="s">
        <v>2924</v>
      </c>
      <c r="F241" s="74" t="s">
        <v>2930</v>
      </c>
      <c r="H241" s="20">
        <f>22237983800+10071600000</f>
        <v>32309583800</v>
      </c>
      <c r="I241" s="20">
        <f>I240+Table145[[#This Row],[مبلغ ورود]]-Table145[[#This Row],[مبلغ خروج]]</f>
        <v>135442671085</v>
      </c>
    </row>
    <row r="242" spans="1:9" ht="37.5">
      <c r="A242" s="358">
        <v>238</v>
      </c>
      <c r="B242" s="261" t="s">
        <v>2931</v>
      </c>
      <c r="C242" s="317" t="s">
        <v>2917</v>
      </c>
      <c r="D242" s="350" t="s">
        <v>938</v>
      </c>
      <c r="E242" s="274" t="s">
        <v>2925</v>
      </c>
      <c r="F242" s="74" t="s">
        <v>2932</v>
      </c>
      <c r="G242" s="365"/>
      <c r="H242" s="20">
        <v>20165000000</v>
      </c>
      <c r="I242" s="20">
        <f>I241+Table145[[#This Row],[مبلغ ورود]]-Table145[[#This Row],[مبلغ خروج]]</f>
        <v>115277671085</v>
      </c>
    </row>
    <row r="243" spans="1:9" ht="37.5">
      <c r="A243" s="362">
        <v>239</v>
      </c>
      <c r="B243" s="261" t="s">
        <v>2931</v>
      </c>
      <c r="C243" s="317" t="s">
        <v>2933</v>
      </c>
      <c r="D243" s="350" t="s">
        <v>938</v>
      </c>
      <c r="E243" s="274" t="s">
        <v>2935</v>
      </c>
      <c r="F243" s="74" t="s">
        <v>2934</v>
      </c>
      <c r="G243" s="365"/>
      <c r="H243" s="20">
        <v>1687400000</v>
      </c>
      <c r="I243" s="20">
        <f>I242+Table145[[#This Row],[مبلغ ورود]]-Table145[[#This Row],[مبلغ خروج]]</f>
        <v>113590271085</v>
      </c>
    </row>
    <row r="244" spans="1:9" ht="37.5">
      <c r="A244" s="362">
        <v>240</v>
      </c>
      <c r="B244" s="261" t="s">
        <v>2931</v>
      </c>
      <c r="C244" s="317" t="s">
        <v>2936</v>
      </c>
      <c r="D244" s="350" t="s">
        <v>938</v>
      </c>
      <c r="E244" s="274" t="s">
        <v>2937</v>
      </c>
      <c r="F244" s="74" t="s">
        <v>2449</v>
      </c>
      <c r="G244" s="365"/>
      <c r="H244" s="20">
        <v>40000000000</v>
      </c>
      <c r="I244" s="20">
        <f>I243+Table145[[#This Row],[مبلغ ورود]]-Table145[[#This Row],[مبلغ خروج]]</f>
        <v>73590271085</v>
      </c>
    </row>
    <row r="245" spans="1:9" ht="21">
      <c r="A245" s="362">
        <v>241</v>
      </c>
      <c r="B245" s="261" t="s">
        <v>2931</v>
      </c>
      <c r="C245" s="369"/>
      <c r="D245" s="350" t="s">
        <v>938</v>
      </c>
      <c r="F245" s="74" t="s">
        <v>1561</v>
      </c>
      <c r="G245" s="371"/>
      <c r="H245" s="20">
        <f>250000+250000+250000</f>
        <v>750000</v>
      </c>
      <c r="I245" s="20">
        <f>I244+Table145[[#This Row],[مبلغ ورود]]-Table145[[#This Row],[مبلغ خروج]]</f>
        <v>73589521085</v>
      </c>
    </row>
    <row r="246" spans="1:9" ht="21">
      <c r="A246" s="362">
        <v>242</v>
      </c>
      <c r="B246" s="261" t="s">
        <v>2931</v>
      </c>
      <c r="C246" s="369"/>
      <c r="D246" s="350" t="s">
        <v>938</v>
      </c>
      <c r="F246" s="74" t="s">
        <v>1561</v>
      </c>
      <c r="G246" s="371"/>
      <c r="H246" s="20">
        <v>250000</v>
      </c>
      <c r="I246" s="20">
        <f>I245+Table145[[#This Row],[مبلغ ورود]]-Table145[[#This Row],[مبلغ خروج]]</f>
        <v>73589271085</v>
      </c>
    </row>
    <row r="247" spans="1:9" ht="21">
      <c r="A247" s="368">
        <v>243</v>
      </c>
      <c r="B247" s="261" t="s">
        <v>2938</v>
      </c>
      <c r="C247" s="317" t="s">
        <v>2939</v>
      </c>
      <c r="D247" s="350" t="s">
        <v>938</v>
      </c>
      <c r="E247" s="274" t="s">
        <v>2940</v>
      </c>
      <c r="F247" s="74" t="s">
        <v>3034</v>
      </c>
      <c r="G247" s="371"/>
      <c r="H247" s="20">
        <v>4000000</v>
      </c>
      <c r="I247" s="20">
        <f>I246+Table145[[#This Row],[مبلغ ورود]]-Table145[[#This Row],[مبلغ خروج]]</f>
        <v>73585271085</v>
      </c>
    </row>
    <row r="248" spans="1:9" ht="21">
      <c r="A248" s="1">
        <v>244</v>
      </c>
      <c r="B248" s="261" t="s">
        <v>2938</v>
      </c>
      <c r="C248" s="317"/>
      <c r="D248" s="350" t="s">
        <v>938</v>
      </c>
      <c r="F248" s="74" t="s">
        <v>2941</v>
      </c>
      <c r="H248" s="20">
        <v>100000</v>
      </c>
      <c r="I248" s="20">
        <f>I247+Table145[[#This Row],[مبلغ ورود]]-Table145[[#This Row],[مبلغ خروج]]</f>
        <v>73585171085</v>
      </c>
    </row>
    <row r="249" spans="1:9" ht="37.5">
      <c r="A249" s="1">
        <v>245</v>
      </c>
      <c r="B249" s="261" t="s">
        <v>2949</v>
      </c>
      <c r="C249" s="317" t="s">
        <v>2943</v>
      </c>
      <c r="D249" s="350" t="s">
        <v>938</v>
      </c>
      <c r="E249" s="274" t="s">
        <v>2950</v>
      </c>
      <c r="F249" s="74" t="s">
        <v>2942</v>
      </c>
      <c r="H249" s="334">
        <v>338495000</v>
      </c>
      <c r="I249" s="20">
        <f>I248+Table145[[#This Row],[مبلغ ورود]]-Table145[[#This Row],[مبلغ خروج]]</f>
        <v>73246676085</v>
      </c>
    </row>
    <row r="250" spans="1:9" ht="37.5">
      <c r="A250" s="1">
        <v>246</v>
      </c>
      <c r="B250" s="261" t="s">
        <v>2949</v>
      </c>
      <c r="C250" s="317" t="s">
        <v>2944</v>
      </c>
      <c r="D250" s="350" t="s">
        <v>938</v>
      </c>
      <c r="E250" s="274" t="s">
        <v>2951</v>
      </c>
      <c r="F250" s="74" t="s">
        <v>2953</v>
      </c>
      <c r="H250" s="20">
        <v>2401597670</v>
      </c>
      <c r="I250" s="20">
        <f>I249+Table145[[#This Row],[مبلغ ورود]]-Table145[[#This Row],[مبلغ خروج]]</f>
        <v>70845078415</v>
      </c>
    </row>
    <row r="251" spans="1:9" ht="37.5">
      <c r="A251" s="1">
        <v>247</v>
      </c>
      <c r="B251" s="261" t="s">
        <v>2949</v>
      </c>
      <c r="C251" s="317" t="s">
        <v>2945</v>
      </c>
      <c r="D251" s="350" t="s">
        <v>938</v>
      </c>
      <c r="E251" s="274" t="s">
        <v>2952</v>
      </c>
      <c r="F251" s="74" t="s">
        <v>2954</v>
      </c>
      <c r="H251" s="20">
        <v>1397792000</v>
      </c>
      <c r="I251" s="20">
        <f>I250+Table145[[#This Row],[مبلغ ورود]]-Table145[[#This Row],[مبلغ خروج]]</f>
        <v>69447286415</v>
      </c>
    </row>
    <row r="252" spans="1:9" ht="37.5">
      <c r="A252" s="1">
        <v>248</v>
      </c>
      <c r="B252" s="261" t="s">
        <v>2949</v>
      </c>
      <c r="C252" s="317" t="s">
        <v>2946</v>
      </c>
      <c r="D252" s="350" t="s">
        <v>938</v>
      </c>
      <c r="E252" s="274" t="s">
        <v>2956</v>
      </c>
      <c r="F252" s="74" t="s">
        <v>2955</v>
      </c>
      <c r="H252" s="20">
        <v>702143327</v>
      </c>
      <c r="I252" s="20">
        <f>I251+Table145[[#This Row],[مبلغ ورود]]-Table145[[#This Row],[مبلغ خروج]]</f>
        <v>68745143088</v>
      </c>
    </row>
    <row r="253" spans="1:9" ht="37.5">
      <c r="A253" s="1">
        <v>249</v>
      </c>
      <c r="B253" s="261" t="s">
        <v>2949</v>
      </c>
      <c r="C253" s="317" t="s">
        <v>2947</v>
      </c>
      <c r="D253" s="350" t="s">
        <v>938</v>
      </c>
      <c r="E253" s="274" t="s">
        <v>2957</v>
      </c>
      <c r="F253" s="74" t="s">
        <v>2449</v>
      </c>
      <c r="H253" s="20">
        <v>40000000000</v>
      </c>
      <c r="I253" s="20">
        <f>I252+Table145[[#This Row],[مبلغ ورود]]-Table145[[#This Row],[مبلغ خروج]]</f>
        <v>28745143088</v>
      </c>
    </row>
    <row r="254" spans="1:9" ht="37.5">
      <c r="A254" s="1">
        <v>250</v>
      </c>
      <c r="B254" s="261" t="s">
        <v>2961</v>
      </c>
      <c r="C254" s="317" t="s">
        <v>2948</v>
      </c>
      <c r="D254" s="350" t="s">
        <v>938</v>
      </c>
      <c r="E254" s="274" t="s">
        <v>2959</v>
      </c>
      <c r="F254" s="74" t="s">
        <v>2958</v>
      </c>
      <c r="H254" s="20">
        <v>14107448700</v>
      </c>
      <c r="I254" s="20">
        <f>I253+Table145[[#This Row],[مبلغ ورود]]-Table145[[#This Row],[مبلغ خروج]]</f>
        <v>14637694388</v>
      </c>
    </row>
    <row r="255" spans="1:9" ht="37.5">
      <c r="A255" s="1">
        <v>251</v>
      </c>
      <c r="B255" s="261" t="s">
        <v>2961</v>
      </c>
      <c r="C255" s="317" t="s">
        <v>2962</v>
      </c>
      <c r="D255" s="350" t="s">
        <v>938</v>
      </c>
      <c r="E255" s="274" t="s">
        <v>2960</v>
      </c>
      <c r="F255" s="74" t="s">
        <v>2963</v>
      </c>
      <c r="H255" s="20">
        <v>8494370000</v>
      </c>
      <c r="I255" s="20">
        <f>I254+Table145[[#This Row],[مبلغ ورود]]-Table145[[#This Row],[مبلغ خروج]]</f>
        <v>6143324388</v>
      </c>
    </row>
    <row r="256" spans="1:9" ht="37.5">
      <c r="A256" s="1">
        <v>252</v>
      </c>
      <c r="B256" s="261" t="s">
        <v>2961</v>
      </c>
      <c r="C256" s="317" t="s">
        <v>2964</v>
      </c>
      <c r="D256" s="350" t="s">
        <v>938</v>
      </c>
      <c r="E256" s="274" t="s">
        <v>2965</v>
      </c>
      <c r="F256" s="74" t="s">
        <v>2966</v>
      </c>
      <c r="H256" s="20">
        <v>500000000</v>
      </c>
      <c r="I256" s="20">
        <f>I255+Table145[[#This Row],[مبلغ ورود]]-Table145[[#This Row],[مبلغ خروج]]</f>
        <v>5643324388</v>
      </c>
    </row>
    <row r="257" spans="1:9" ht="21">
      <c r="A257" s="1">
        <v>253</v>
      </c>
      <c r="B257" s="261" t="s">
        <v>2967</v>
      </c>
      <c r="C257" s="317"/>
      <c r="D257" s="350" t="s">
        <v>938</v>
      </c>
      <c r="F257" s="74" t="s">
        <v>1561</v>
      </c>
      <c r="H257" s="20">
        <f>140428+250000</f>
        <v>390428</v>
      </c>
      <c r="I257" s="20">
        <f>I256+Table145[[#This Row],[مبلغ ورود]]-Table145[[#This Row],[مبلغ خروج]]</f>
        <v>5642933960</v>
      </c>
    </row>
    <row r="258" spans="1:9" ht="21">
      <c r="A258" s="1">
        <v>254</v>
      </c>
      <c r="B258" s="261" t="s">
        <v>2968</v>
      </c>
      <c r="C258" s="317"/>
      <c r="D258" s="350" t="s">
        <v>938</v>
      </c>
      <c r="F258" s="74" t="s">
        <v>1561</v>
      </c>
      <c r="H258" s="20">
        <v>250000</v>
      </c>
      <c r="I258" s="20">
        <f>I257+Table145[[#This Row],[مبلغ ورود]]-Table145[[#This Row],[مبلغ خروج]]</f>
        <v>5642683960</v>
      </c>
    </row>
    <row r="259" spans="1:9" ht="21">
      <c r="A259" s="1">
        <v>255</v>
      </c>
      <c r="B259" s="261" t="s">
        <v>2970</v>
      </c>
      <c r="C259" s="317" t="s">
        <v>2971</v>
      </c>
      <c r="D259" s="350" t="s">
        <v>938</v>
      </c>
      <c r="E259" s="274" t="s">
        <v>2972</v>
      </c>
      <c r="F259" s="74" t="s">
        <v>2973</v>
      </c>
      <c r="G259" s="371"/>
      <c r="H259" s="20">
        <v>50000000</v>
      </c>
      <c r="I259" s="20">
        <f>I258+Table145[[#This Row],[مبلغ ورود]]-Table145[[#This Row],[مبلغ خروج]]</f>
        <v>5592683960</v>
      </c>
    </row>
    <row r="260" spans="1:9" ht="21">
      <c r="A260" s="1"/>
      <c r="B260" s="261" t="s">
        <v>2970</v>
      </c>
      <c r="C260" s="317"/>
      <c r="D260" s="350" t="s">
        <v>938</v>
      </c>
      <c r="F260" s="74" t="s">
        <v>2672</v>
      </c>
      <c r="G260" s="73">
        <v>50000000000</v>
      </c>
      <c r="I260" s="20">
        <f>I259+Table145[[#This Row],[مبلغ ورود]]-Table145[[#This Row],[مبلغ خروج]]</f>
        <v>55592683960</v>
      </c>
    </row>
    <row r="261" spans="1:9" ht="37.5">
      <c r="A261" s="368">
        <v>256</v>
      </c>
      <c r="B261" s="261" t="s">
        <v>2970</v>
      </c>
      <c r="C261" s="317" t="s">
        <v>2974</v>
      </c>
      <c r="D261" s="350" t="s">
        <v>938</v>
      </c>
      <c r="E261" s="274" t="s">
        <v>2975</v>
      </c>
      <c r="F261" s="74" t="s">
        <v>2976</v>
      </c>
      <c r="G261" s="371"/>
      <c r="H261" s="20">
        <v>5800000000</v>
      </c>
      <c r="I261" s="20">
        <f>I260+Table145[[#This Row],[مبلغ ورود]]-Table145[[#This Row],[مبلغ خروج]]</f>
        <v>49792683960</v>
      </c>
    </row>
    <row r="262" spans="1:9" ht="21">
      <c r="A262" s="368">
        <v>257</v>
      </c>
      <c r="B262" s="370" t="s">
        <v>2969</v>
      </c>
      <c r="C262" s="369"/>
      <c r="D262" s="350" t="s">
        <v>938</v>
      </c>
      <c r="F262" s="74" t="s">
        <v>2977</v>
      </c>
      <c r="G262" s="371">
        <v>59371166</v>
      </c>
      <c r="I262" s="20">
        <f>I261+Table145[[#This Row],[مبلغ ورود]]-Table145[[#This Row],[مبلغ خروج]]</f>
        <v>49852055126</v>
      </c>
    </row>
    <row r="263" spans="1:9" ht="21">
      <c r="A263" s="368">
        <v>258</v>
      </c>
      <c r="B263" s="370" t="s">
        <v>2970</v>
      </c>
      <c r="C263" s="369"/>
      <c r="D263" s="350" t="s">
        <v>938</v>
      </c>
      <c r="F263" s="74" t="s">
        <v>2205</v>
      </c>
      <c r="G263" s="371"/>
      <c r="H263" s="20">
        <v>110000</v>
      </c>
      <c r="I263" s="20">
        <f>I262+Table145[[#This Row],[مبلغ ورود]]-Table145[[#This Row],[مبلغ خروج]]</f>
        <v>49851945126</v>
      </c>
    </row>
    <row r="264" spans="1:9" ht="21">
      <c r="A264" s="368">
        <v>259</v>
      </c>
      <c r="B264" s="261" t="s">
        <v>2979</v>
      </c>
      <c r="C264" s="317" t="s">
        <v>2980</v>
      </c>
      <c r="D264" s="350" t="s">
        <v>938</v>
      </c>
      <c r="E264" s="274" t="s">
        <v>2982</v>
      </c>
      <c r="F264" s="74" t="s">
        <v>2978</v>
      </c>
      <c r="G264" s="371"/>
      <c r="H264" s="20">
        <v>1353552741</v>
      </c>
      <c r="I264" s="20">
        <f>I263+Table145[[#This Row],[مبلغ ورود]]-Table145[[#This Row],[مبلغ خروج]]</f>
        <v>48498392385</v>
      </c>
    </row>
    <row r="265" spans="1:9" ht="21.75" customHeight="1">
      <c r="A265" s="368">
        <v>260</v>
      </c>
      <c r="B265" s="261" t="s">
        <v>2979</v>
      </c>
      <c r="C265" s="317" t="s">
        <v>2981</v>
      </c>
      <c r="D265" s="350" t="s">
        <v>938</v>
      </c>
      <c r="E265" s="274" t="s">
        <v>2983</v>
      </c>
      <c r="F265" s="74" t="s">
        <v>2994</v>
      </c>
      <c r="G265" s="357"/>
      <c r="H265" s="20">
        <v>7000000000</v>
      </c>
      <c r="I265" s="20">
        <f>I264+Table145[[#This Row],[مبلغ ورود]]-Table145[[#This Row],[مبلغ خروج]]</f>
        <v>41498392385</v>
      </c>
    </row>
    <row r="266" spans="1:9" ht="21">
      <c r="A266" s="368">
        <v>261</v>
      </c>
      <c r="B266" s="261" t="s">
        <v>2979</v>
      </c>
      <c r="C266" s="317" t="s">
        <v>2984</v>
      </c>
      <c r="D266" s="350" t="s">
        <v>938</v>
      </c>
      <c r="E266" s="274" t="s">
        <v>2989</v>
      </c>
      <c r="F266" s="74" t="s">
        <v>1838</v>
      </c>
      <c r="G266" s="353"/>
      <c r="H266" s="20">
        <v>20000000000</v>
      </c>
      <c r="I266" s="20">
        <f>I265+Table145[[#This Row],[مبلغ ورود]]-Table145[[#This Row],[مبلغ خروج]]</f>
        <v>21498392385</v>
      </c>
    </row>
    <row r="267" spans="1:9" ht="21">
      <c r="A267" s="368">
        <v>262</v>
      </c>
      <c r="B267" s="261" t="s">
        <v>2979</v>
      </c>
      <c r="C267" s="317" t="s">
        <v>2985</v>
      </c>
      <c r="D267" s="350" t="s">
        <v>938</v>
      </c>
      <c r="E267" s="274" t="s">
        <v>2990</v>
      </c>
      <c r="F267" s="74" t="s">
        <v>2995</v>
      </c>
      <c r="G267" s="353"/>
      <c r="H267" s="20">
        <v>356048541</v>
      </c>
      <c r="I267" s="20">
        <f>I266+Table145[[#This Row],[مبلغ ورود]]-Table145[[#This Row],[مبلغ خروج]]</f>
        <v>21142343844</v>
      </c>
    </row>
    <row r="268" spans="1:9" ht="21">
      <c r="A268" s="368">
        <v>263</v>
      </c>
      <c r="B268" s="261" t="s">
        <v>2979</v>
      </c>
      <c r="C268" s="317" t="s">
        <v>2986</v>
      </c>
      <c r="D268" s="350" t="s">
        <v>938</v>
      </c>
      <c r="E268" s="274" t="s">
        <v>2991</v>
      </c>
      <c r="F268" s="74" t="s">
        <v>2996</v>
      </c>
      <c r="H268" s="20">
        <v>96332484</v>
      </c>
      <c r="I268" s="20">
        <f>I267+Table145[[#This Row],[مبلغ ورود]]-Table145[[#This Row],[مبلغ خروج]]</f>
        <v>21046011360</v>
      </c>
    </row>
    <row r="269" spans="1:9" ht="21">
      <c r="A269" s="368">
        <v>264</v>
      </c>
      <c r="B269" s="261" t="s">
        <v>2979</v>
      </c>
      <c r="C269" s="372"/>
      <c r="D269" s="350" t="s">
        <v>938</v>
      </c>
      <c r="F269" s="74" t="s">
        <v>2997</v>
      </c>
      <c r="G269" s="373"/>
      <c r="H269" s="20">
        <f>5700+8400</f>
        <v>14100</v>
      </c>
      <c r="I269" s="20">
        <f>I268+Table145[[#This Row],[مبلغ ورود]]-Table145[[#This Row],[مبلغ خروج]]</f>
        <v>21045997260</v>
      </c>
    </row>
    <row r="270" spans="1:9" ht="21">
      <c r="A270" s="368">
        <v>265</v>
      </c>
      <c r="B270" s="370" t="s">
        <v>2970</v>
      </c>
      <c r="C270" s="317"/>
      <c r="D270" s="350" t="s">
        <v>938</v>
      </c>
      <c r="F270" s="74" t="s">
        <v>1561</v>
      </c>
      <c r="H270" s="20">
        <v>250000</v>
      </c>
      <c r="I270" s="20">
        <f>I269+Table145[[#This Row],[مبلغ ورود]]-Table145[[#This Row],[مبلغ خروج]]</f>
        <v>21045747260</v>
      </c>
    </row>
    <row r="271" spans="1:9" ht="37.5">
      <c r="A271" s="368">
        <v>266</v>
      </c>
      <c r="B271" s="261" t="s">
        <v>2999</v>
      </c>
      <c r="C271" s="317" t="s">
        <v>2987</v>
      </c>
      <c r="D271" s="350" t="s">
        <v>938</v>
      </c>
      <c r="E271" s="274" t="s">
        <v>2992</v>
      </c>
      <c r="F271" s="74" t="s">
        <v>2998</v>
      </c>
      <c r="H271" s="20">
        <v>57100000</v>
      </c>
      <c r="I271" s="20">
        <f>I270+Table145[[#This Row],[مبلغ ورود]]-Table145[[#This Row],[مبلغ خروج]]</f>
        <v>20988647260</v>
      </c>
    </row>
    <row r="272" spans="1:9" ht="37.5">
      <c r="A272" s="368">
        <v>267</v>
      </c>
      <c r="B272" s="261" t="s">
        <v>2999</v>
      </c>
      <c r="C272" s="317" t="s">
        <v>2988</v>
      </c>
      <c r="D272" s="350" t="s">
        <v>938</v>
      </c>
      <c r="E272" s="274" t="s">
        <v>2993</v>
      </c>
      <c r="F272" s="74" t="s">
        <v>2449</v>
      </c>
      <c r="H272" s="20">
        <v>11000000000</v>
      </c>
      <c r="I272" s="20">
        <f>I271+Table145[[#This Row],[مبلغ ورود]]-Table145[[#This Row],[مبلغ خروج]]</f>
        <v>9988647260</v>
      </c>
    </row>
    <row r="273" spans="1:9" ht="21">
      <c r="A273" s="368">
        <v>268</v>
      </c>
      <c r="B273" s="261" t="s">
        <v>3000</v>
      </c>
      <c r="C273" s="317" t="s">
        <v>3001</v>
      </c>
      <c r="D273" s="350" t="s">
        <v>938</v>
      </c>
      <c r="E273" s="274" t="s">
        <v>3002</v>
      </c>
      <c r="F273" s="74" t="s">
        <v>3003</v>
      </c>
      <c r="H273" s="20">
        <v>296400000</v>
      </c>
      <c r="I273" s="20">
        <f>I272+Table145[[#This Row],[مبلغ ورود]]-Table145[[#This Row],[مبلغ خروج]]</f>
        <v>9692247260</v>
      </c>
    </row>
    <row r="274" spans="1:9" ht="21">
      <c r="A274" s="368">
        <v>269</v>
      </c>
      <c r="B274" s="261" t="s">
        <v>3005</v>
      </c>
      <c r="C274" s="317"/>
      <c r="F274" s="74" t="s">
        <v>2672</v>
      </c>
      <c r="G274" s="73">
        <v>50000000000</v>
      </c>
      <c r="I274" s="20">
        <f>I273+Table145[[#This Row],[مبلغ ورود]]-Table145[[#This Row],[مبلغ خروج]]</f>
        <v>59692247260</v>
      </c>
    </row>
    <row r="275" spans="1:9" ht="37.5">
      <c r="A275" s="1">
        <v>270</v>
      </c>
      <c r="B275" s="261" t="s">
        <v>3007</v>
      </c>
      <c r="C275" s="317" t="s">
        <v>3006</v>
      </c>
      <c r="D275" s="350" t="s">
        <v>938</v>
      </c>
      <c r="E275" s="274" t="s">
        <v>3008</v>
      </c>
      <c r="F275" s="74" t="s">
        <v>2449</v>
      </c>
      <c r="H275" s="73">
        <v>50000000000</v>
      </c>
      <c r="I275" s="20">
        <f>I274+Table145[[#This Row],[مبلغ ورود]]-Table145[[#This Row],[مبلغ خروج]]</f>
        <v>9692247260</v>
      </c>
    </row>
    <row r="276" spans="1:9" ht="21">
      <c r="A276" s="1">
        <v>271</v>
      </c>
      <c r="B276" s="261" t="s">
        <v>3000</v>
      </c>
      <c r="C276" s="317"/>
      <c r="D276" s="350" t="s">
        <v>938</v>
      </c>
      <c r="F276" s="74" t="s">
        <v>1561</v>
      </c>
      <c r="H276" s="20">
        <f>250000</f>
        <v>250000</v>
      </c>
      <c r="I276" s="20">
        <f>I275+Table145[[#This Row],[مبلغ ورود]]-Table145[[#This Row],[مبلغ خروج]]</f>
        <v>9691997260</v>
      </c>
    </row>
    <row r="277" spans="1:9" ht="21">
      <c r="A277" s="1">
        <v>272</v>
      </c>
      <c r="B277" s="261" t="s">
        <v>3009</v>
      </c>
      <c r="C277" s="317"/>
      <c r="D277" s="350" t="s">
        <v>938</v>
      </c>
      <c r="F277" s="74" t="s">
        <v>1561</v>
      </c>
      <c r="H277" s="20">
        <f>250000+10000+10000</f>
        <v>270000</v>
      </c>
      <c r="I277" s="20">
        <f>I276+Table145[[#This Row],[مبلغ ورود]]-Table145[[#This Row],[مبلغ خروج]]</f>
        <v>9691727260</v>
      </c>
    </row>
    <row r="278" spans="1:9" ht="37.5">
      <c r="A278" s="1">
        <v>273</v>
      </c>
      <c r="B278" s="261" t="s">
        <v>3011</v>
      </c>
      <c r="C278" s="317" t="s">
        <v>3012</v>
      </c>
      <c r="D278" s="350" t="s">
        <v>938</v>
      </c>
      <c r="E278" s="274" t="s">
        <v>3013</v>
      </c>
      <c r="F278" s="74" t="s">
        <v>3010</v>
      </c>
      <c r="H278" s="20">
        <v>1083195500</v>
      </c>
      <c r="I278" s="20">
        <f>I277+Table145[[#This Row],[مبلغ ورود]]-Table145[[#This Row],[مبلغ خروج]]</f>
        <v>8608531760</v>
      </c>
    </row>
    <row r="279" spans="1:9" ht="37.5">
      <c r="A279" s="1">
        <v>274</v>
      </c>
      <c r="B279" s="261" t="s">
        <v>3011</v>
      </c>
      <c r="C279" s="317" t="s">
        <v>3014</v>
      </c>
      <c r="D279" s="350" t="s">
        <v>938</v>
      </c>
      <c r="E279" s="274" t="s">
        <v>3015</v>
      </c>
      <c r="F279" s="74" t="s">
        <v>3016</v>
      </c>
      <c r="H279" s="20">
        <v>2840973800</v>
      </c>
      <c r="I279" s="20">
        <f>I278+Table145[[#This Row],[مبلغ ورود]]-Table145[[#This Row],[مبلغ خروج]]</f>
        <v>5767557960</v>
      </c>
    </row>
    <row r="280" spans="1:9" ht="37.5">
      <c r="A280" s="1">
        <v>275</v>
      </c>
      <c r="B280" s="261" t="s">
        <v>3011</v>
      </c>
      <c r="C280" s="317" t="s">
        <v>3017</v>
      </c>
      <c r="D280" s="350" t="s">
        <v>938</v>
      </c>
      <c r="E280" s="274" t="s">
        <v>3019</v>
      </c>
      <c r="F280" s="197" t="s">
        <v>3021</v>
      </c>
      <c r="H280" s="20">
        <v>74217746</v>
      </c>
      <c r="I280" s="20">
        <f>I279+Table145[[#This Row],[مبلغ ورود]]-Table145[[#This Row],[مبلغ خروج]]</f>
        <v>5693340214</v>
      </c>
    </row>
    <row r="281" spans="1:9" ht="37.5">
      <c r="A281" s="1">
        <v>276</v>
      </c>
      <c r="B281" s="261" t="s">
        <v>3011</v>
      </c>
      <c r="C281" s="317" t="s">
        <v>3018</v>
      </c>
      <c r="D281" s="350" t="s">
        <v>938</v>
      </c>
      <c r="E281" s="274" t="s">
        <v>3020</v>
      </c>
      <c r="F281" s="197" t="s">
        <v>3022</v>
      </c>
      <c r="H281" s="20">
        <v>135206606</v>
      </c>
      <c r="I281" s="20">
        <f>I280+Table145[[#This Row],[مبلغ ورود]]-Table145[[#This Row],[مبلغ خروج]]</f>
        <v>5558133608</v>
      </c>
    </row>
    <row r="282" spans="1:9" ht="21">
      <c r="A282" s="1">
        <v>277</v>
      </c>
      <c r="B282" s="261" t="s">
        <v>3023</v>
      </c>
      <c r="C282" s="376"/>
      <c r="D282" s="350" t="s">
        <v>938</v>
      </c>
      <c r="F282" s="197" t="s">
        <v>1561</v>
      </c>
      <c r="G282" s="378"/>
      <c r="H282" s="20">
        <v>216639</v>
      </c>
      <c r="I282" s="20">
        <f>I281+Table145[[#This Row],[مبلغ ورود]]-Table145[[#This Row],[مبلغ خروج]]</f>
        <v>5557916969</v>
      </c>
    </row>
    <row r="283" spans="1:9" ht="21">
      <c r="A283" s="1">
        <v>278</v>
      </c>
      <c r="B283" s="375" t="s">
        <v>3025</v>
      </c>
      <c r="C283" s="376" t="s">
        <v>3024</v>
      </c>
      <c r="D283" s="350" t="s">
        <v>938</v>
      </c>
      <c r="F283" s="197"/>
      <c r="G283" s="378"/>
      <c r="H283" s="20">
        <v>6554366853</v>
      </c>
      <c r="I283" s="20">
        <f>I282+Table145[[#This Row],[مبلغ ورود]]-Table145[[#This Row],[مبلغ خروج]]</f>
        <v>-996449884</v>
      </c>
    </row>
    <row r="284" spans="1:9" ht="21">
      <c r="A284" s="1">
        <v>279</v>
      </c>
      <c r="B284" s="261" t="s">
        <v>3233</v>
      </c>
      <c r="C284" s="376"/>
      <c r="D284" s="350"/>
      <c r="F284" s="74" t="s">
        <v>3232</v>
      </c>
      <c r="G284" s="378"/>
      <c r="H284" s="20">
        <v>3970575456</v>
      </c>
      <c r="I284" s="20">
        <f>I283+Table145[[#This Row],[مبلغ ورود]]-Table145[[#This Row],[مبلغ خروج]]</f>
        <v>-4967025340</v>
      </c>
    </row>
    <row r="285" spans="1:9" ht="21">
      <c r="A285" s="374"/>
      <c r="B285" s="261" t="s">
        <v>3233</v>
      </c>
      <c r="C285" s="376"/>
      <c r="D285" s="377"/>
      <c r="F285" s="74" t="s">
        <v>3231</v>
      </c>
      <c r="G285" s="378"/>
      <c r="H285" s="20">
        <v>5909798196</v>
      </c>
      <c r="I285" s="20">
        <f>I284+Table145[[#This Row],[مبلغ ورود]]-Table145[[#This Row],[مبلغ خروج]]</f>
        <v>-10876823536</v>
      </c>
    </row>
    <row r="286" spans="1:9" ht="21">
      <c r="A286" s="374"/>
      <c r="B286" s="261" t="s">
        <v>3246</v>
      </c>
      <c r="C286" s="376"/>
      <c r="D286" s="377"/>
      <c r="F286" s="74" t="s">
        <v>3247</v>
      </c>
      <c r="G286" s="378"/>
      <c r="H286" s="20">
        <v>8490655000</v>
      </c>
      <c r="I286" s="20">
        <f>I285+Table145[[#This Row],[مبلغ ورود]]-Table145[[#This Row],[مبلغ خروج]]</f>
        <v>-19367478536</v>
      </c>
    </row>
    <row r="287" spans="1:9" ht="21">
      <c r="A287" s="374"/>
      <c r="B287" s="261" t="s">
        <v>3249</v>
      </c>
      <c r="C287" s="376"/>
      <c r="D287" s="377"/>
      <c r="F287" s="234" t="s">
        <v>3248</v>
      </c>
      <c r="G287" s="471"/>
      <c r="H287" s="20">
        <v>6431537453</v>
      </c>
      <c r="I287" s="20">
        <f>I286+Table145[[#This Row],[مبلغ ورود]]-Table145[[#This Row],[مبلغ خروج]]</f>
        <v>-25799015989</v>
      </c>
    </row>
    <row r="288" spans="1:9" ht="21">
      <c r="A288" s="374"/>
      <c r="B288" s="261" t="s">
        <v>3249</v>
      </c>
      <c r="C288" s="376"/>
      <c r="D288" s="377"/>
      <c r="F288" s="234" t="s">
        <v>3251</v>
      </c>
      <c r="G288" s="471"/>
      <c r="H288" s="20">
        <v>2889299594</v>
      </c>
      <c r="I288" s="20">
        <f>I287+Table145[[#This Row],[مبلغ ورود]]-Table145[[#This Row],[مبلغ خروج]]</f>
        <v>-28688315583</v>
      </c>
    </row>
    <row r="289" spans="1:9" ht="21">
      <c r="A289" s="374"/>
      <c r="B289" s="261"/>
      <c r="C289" s="376"/>
      <c r="D289" s="377"/>
      <c r="F289" s="74">
        <v>91</v>
      </c>
      <c r="G289" s="378"/>
      <c r="I289" s="20">
        <f>I288+Table145[[#This Row],[مبلغ ورود]]-Table145[[#This Row],[مبلغ خروج]]</f>
        <v>-28688315583</v>
      </c>
    </row>
    <row r="290" spans="1:9" ht="21">
      <c r="A290" s="374"/>
      <c r="B290" s="375"/>
      <c r="C290" s="376"/>
      <c r="D290" s="377"/>
      <c r="F290" s="197"/>
      <c r="G290" s="378"/>
      <c r="I290" s="20">
        <f>I289+Table145[[#This Row],[مبلغ ورود]]-Table145[[#This Row],[مبلغ خروج]]</f>
        <v>-28688315583</v>
      </c>
    </row>
    <row r="291" spans="1:9" ht="21">
      <c r="A291" s="1"/>
      <c r="B291" s="261"/>
      <c r="C291" s="317"/>
      <c r="F291" s="74"/>
      <c r="I291" s="20">
        <f>I290+Table145[[#This Row],[مبلغ ورود]]-Table145[[#This Row],[مبلغ خروج]]</f>
        <v>-28688315583</v>
      </c>
    </row>
    <row r="292" spans="1:9" ht="21">
      <c r="A292" s="1"/>
      <c r="B292" s="261"/>
      <c r="C292" s="317"/>
      <c r="F292" s="74"/>
      <c r="I292" s="20">
        <f>I291+Table145[[#This Row],[مبلغ ورود]]-Table145[[#This Row],[مبلغ خروج]]</f>
        <v>-28688315583</v>
      </c>
    </row>
    <row r="293" spans="1:9" ht="21">
      <c r="A293" s="1"/>
      <c r="B293" s="261"/>
      <c r="C293" s="317"/>
      <c r="F293" s="74"/>
      <c r="I293" s="20">
        <f>I292+Table145[[#This Row],[مبلغ ورود]]-Table145[[#This Row],[مبلغ خروج]]</f>
        <v>-28688315583</v>
      </c>
    </row>
    <row r="294" spans="1:9" ht="21">
      <c r="A294" s="1"/>
      <c r="B294" s="261"/>
      <c r="C294" s="317"/>
      <c r="F294" s="74"/>
      <c r="I294" s="20">
        <f>I293+Table145[[#This Row],[مبلغ ورود]]-Table145[[#This Row],[مبلغ خروج]]</f>
        <v>-28688315583</v>
      </c>
    </row>
    <row r="295" spans="1:9" ht="21">
      <c r="A295" s="1"/>
      <c r="B295" s="261"/>
      <c r="C295" s="317"/>
      <c r="F295" s="74"/>
      <c r="I295" s="20">
        <f>I294+Table145[[#This Row],[مبلغ ورود]]-Table145[[#This Row],[مبلغ خروج]]</f>
        <v>-28688315583</v>
      </c>
    </row>
    <row r="296" spans="1:9" ht="21">
      <c r="A296" s="1"/>
      <c r="B296" s="261"/>
      <c r="C296" s="317"/>
      <c r="F296" s="74"/>
      <c r="I296" s="20">
        <f>I295+Table145[[#This Row],[مبلغ ورود]]-Table145[[#This Row],[مبلغ خروج]]</f>
        <v>-28688315583</v>
      </c>
    </row>
    <row r="297" spans="1:9" ht="21">
      <c r="A297" s="1"/>
      <c r="B297" s="261"/>
      <c r="C297" s="317"/>
      <c r="F297" s="74"/>
      <c r="I297" s="20">
        <f>I296+Table145[[#This Row],[مبلغ ورود]]-Table145[[#This Row],[مبلغ خروج]]</f>
        <v>-28688315583</v>
      </c>
    </row>
    <row r="298" spans="1:9" ht="21">
      <c r="A298" s="1"/>
      <c r="B298" s="273"/>
      <c r="C298" s="317"/>
      <c r="F298" s="74"/>
      <c r="I298" s="20">
        <f>I297+Table145[[#This Row],[مبلغ ورود]]-Table145[[#This Row],[مبلغ خروج]]</f>
        <v>-28688315583</v>
      </c>
    </row>
    <row r="299" spans="1:9" ht="21">
      <c r="A299" s="1" t="s">
        <v>537</v>
      </c>
      <c r="B299" s="21"/>
      <c r="C299" s="317"/>
      <c r="D299" s="21"/>
      <c r="F299" s="78"/>
      <c r="G299" s="80">
        <f>SUBTOTAL(109,Table145[مبلغ ورود])</f>
        <v>2629261735501</v>
      </c>
      <c r="H299" s="80">
        <f>SUBTOTAL(109,Table145[مبلغ خروج])</f>
        <v>2681740333009</v>
      </c>
      <c r="I299" s="159"/>
    </row>
    <row r="300" spans="1:9">
      <c r="G300" s="19"/>
      <c r="H300" s="19"/>
      <c r="I300" s="19"/>
    </row>
    <row r="301" spans="1:9">
      <c r="G301" s="19"/>
      <c r="H301" s="19"/>
      <c r="I301" s="19"/>
    </row>
    <row r="302" spans="1:9">
      <c r="G302" s="19"/>
      <c r="H302" s="19"/>
      <c r="I302" s="19"/>
    </row>
    <row r="303" spans="1:9">
      <c r="G303" s="19"/>
      <c r="H303" s="19"/>
      <c r="I303" s="19"/>
    </row>
    <row r="304" spans="1:9">
      <c r="G304" s="19"/>
      <c r="H304" s="19"/>
      <c r="I304" s="19"/>
    </row>
    <row r="305" spans="7:9">
      <c r="G305" s="19"/>
      <c r="H305" s="19"/>
      <c r="I305" s="19"/>
    </row>
    <row r="306" spans="7:9">
      <c r="G306" s="19"/>
      <c r="H306" s="19"/>
      <c r="I306" s="19"/>
    </row>
    <row r="307" spans="7:9">
      <c r="G307" s="19"/>
      <c r="H307" s="19"/>
      <c r="I307" s="19"/>
    </row>
  </sheetData>
  <mergeCells count="2">
    <mergeCell ref="A1:I1"/>
    <mergeCell ref="A2:I2"/>
  </mergeCells>
  <phoneticPr fontId="60" type="noConversion"/>
  <printOptions horizontalCentered="1"/>
  <pageMargins left="0.7" right="0.7" top="0.75" bottom="0.75" header="0.3" footer="0.3"/>
  <pageSetup paperSize="9" scale="24" fitToHeight="15" orientation="portrait" r:id="rId1"/>
  <headerFooter>
    <oddFooter>&amp;L&amp;P of&amp;N&amp;C&amp;"B Nazanin,Bold"&amp;10زینب امین زاده&amp;R&amp;D</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K25"/>
  <sheetViews>
    <sheetView rightToLeft="1" view="pageBreakPreview" zoomScaleNormal="100" zoomScaleSheetLayoutView="100" workbookViewId="0">
      <selection activeCell="B10" sqref="B10:G10"/>
    </sheetView>
  </sheetViews>
  <sheetFormatPr defaultColWidth="9.140625" defaultRowHeight="18"/>
  <cols>
    <col min="1" max="1" width="11.140625" style="3" customWidth="1"/>
    <col min="2" max="2" width="34.85546875" style="3" customWidth="1"/>
    <col min="3" max="3" width="11.85546875" style="3" customWidth="1"/>
    <col min="4" max="4" width="25.5703125" style="3" customWidth="1"/>
    <col min="5" max="5" width="15.140625" style="3" customWidth="1"/>
    <col min="6" max="6" width="25.5703125" style="3" customWidth="1"/>
    <col min="7" max="7" width="26" style="3" customWidth="1"/>
    <col min="8" max="9" width="9.140625" style="3"/>
    <col min="10" max="10" width="10" style="3" bestFit="1" customWidth="1"/>
    <col min="11" max="11" width="23.7109375" style="120" customWidth="1"/>
    <col min="12" max="16384" width="9.140625" style="3"/>
  </cols>
  <sheetData>
    <row r="1" spans="1:11" ht="18.75">
      <c r="A1" s="456" t="s">
        <v>7</v>
      </c>
      <c r="B1" s="457"/>
      <c r="C1" s="457"/>
      <c r="D1" s="457"/>
      <c r="E1" s="457"/>
      <c r="F1" s="457"/>
      <c r="G1" s="458"/>
    </row>
    <row r="2" spans="1:11" ht="18.75">
      <c r="A2" s="459" t="s">
        <v>732</v>
      </c>
      <c r="B2" s="460"/>
      <c r="C2" s="460"/>
      <c r="D2" s="460"/>
      <c r="E2" s="460"/>
      <c r="F2" s="460"/>
      <c r="G2" s="461"/>
    </row>
    <row r="3" spans="1:11" ht="15.75" customHeight="1">
      <c r="A3" s="459"/>
      <c r="B3" s="460"/>
      <c r="C3" s="460"/>
      <c r="D3" s="460"/>
      <c r="E3" s="460"/>
      <c r="F3" s="460"/>
      <c r="G3" s="461"/>
    </row>
    <row r="4" spans="1:11" ht="13.5" customHeight="1">
      <c r="A4" s="16"/>
      <c r="B4" s="17"/>
      <c r="C4" s="17"/>
      <c r="D4" s="17"/>
      <c r="E4" s="18" t="s">
        <v>8</v>
      </c>
      <c r="F4" s="462" t="str">
        <f>'1401'!B288</f>
        <v>1404/02/07</v>
      </c>
      <c r="G4" s="462"/>
    </row>
    <row r="5" spans="1:11" ht="18.75">
      <c r="A5" s="16"/>
      <c r="B5" s="17"/>
      <c r="C5" s="17"/>
      <c r="D5" s="17"/>
      <c r="E5" s="18" t="s">
        <v>9</v>
      </c>
      <c r="F5" s="463"/>
      <c r="G5" s="463"/>
    </row>
    <row r="6" spans="1:11" ht="25.5" customHeight="1" thickBot="1">
      <c r="A6" s="112" t="s">
        <v>10</v>
      </c>
      <c r="B6" s="113"/>
      <c r="C6" s="113"/>
      <c r="D6" s="113"/>
      <c r="E6" s="113"/>
      <c r="F6" s="113"/>
      <c r="G6" s="114"/>
    </row>
    <row r="7" spans="1:11" ht="3.75" customHeight="1" thickBot="1">
      <c r="A7" s="455"/>
      <c r="B7" s="455"/>
      <c r="C7" s="455"/>
      <c r="D7" s="455"/>
      <c r="E7" s="455"/>
      <c r="F7" s="455"/>
      <c r="G7" s="455"/>
    </row>
    <row r="8" spans="1:11" ht="6" customHeight="1" thickBot="1">
      <c r="A8" s="441"/>
      <c r="B8" s="442"/>
      <c r="C8" s="442"/>
      <c r="D8" s="442"/>
      <c r="E8" s="442"/>
      <c r="F8" s="442"/>
      <c r="G8" s="443"/>
    </row>
    <row r="9" spans="1:11" s="99" customFormat="1" ht="63.75" customHeight="1" thickBot="1">
      <c r="A9" s="105" t="s">
        <v>549</v>
      </c>
      <c r="B9" s="117">
        <f>'1401'!H287</f>
        <v>6431537453</v>
      </c>
      <c r="C9" s="107" t="s">
        <v>11</v>
      </c>
      <c r="D9" s="111" t="s">
        <v>550</v>
      </c>
      <c r="E9" s="444" t="s">
        <v>3250</v>
      </c>
      <c r="F9" s="445"/>
      <c r="G9" s="106" t="s">
        <v>11</v>
      </c>
      <c r="K9" s="121"/>
    </row>
    <row r="10" spans="1:11" s="133" customFormat="1" ht="101.25" customHeight="1">
      <c r="A10" s="286" t="s">
        <v>13</v>
      </c>
      <c r="B10" s="446" t="str">
        <f>'1401'!F287</f>
        <v>بشرکت آدیش جنوبی بابت حقوق کارکنان بابت تتمه اسفند ماه 1403 و طلب مرخصی و سنوات</v>
      </c>
      <c r="C10" s="447"/>
      <c r="D10" s="447"/>
      <c r="E10" s="447"/>
      <c r="F10" s="447"/>
      <c r="G10" s="448"/>
    </row>
    <row r="11" spans="1:11" s="99" customFormat="1" ht="52.5" customHeight="1" thickBot="1">
      <c r="A11" s="108"/>
      <c r="B11" s="109" t="str">
        <f>'1400'!D42</f>
        <v>بانک اقتصادنوین</v>
      </c>
      <c r="C11" s="109"/>
      <c r="D11" s="110" t="s">
        <v>14</v>
      </c>
      <c r="E11" s="109"/>
      <c r="F11" s="449"/>
      <c r="G11" s="450"/>
      <c r="K11" s="121"/>
    </row>
    <row r="12" spans="1:11" ht="3.75" customHeight="1" thickBot="1"/>
    <row r="13" spans="1:11" s="99" customFormat="1" ht="37.5" customHeight="1" thickBot="1">
      <c r="A13" s="115" t="s">
        <v>15</v>
      </c>
      <c r="B13" s="134" t="str">
        <f>'آقای صفائی فراهانی'!C94</f>
        <v>فیش ساتنا</v>
      </c>
      <c r="C13" s="116" t="s">
        <v>16</v>
      </c>
      <c r="D13" s="135" t="str">
        <f>'1401'!B288</f>
        <v>1404/02/07</v>
      </c>
      <c r="E13" s="116" t="s">
        <v>17</v>
      </c>
      <c r="F13" s="451" t="s">
        <v>3046</v>
      </c>
      <c r="G13" s="452"/>
      <c r="K13" s="121"/>
    </row>
    <row r="14" spans="1:11" ht="3" customHeight="1" thickBot="1"/>
    <row r="15" spans="1:11" ht="19.5">
      <c r="A15" s="192" t="s">
        <v>20</v>
      </c>
      <c r="B15" s="12" t="s">
        <v>1438</v>
      </c>
      <c r="C15" s="11"/>
      <c r="D15" s="12" t="s">
        <v>21</v>
      </c>
      <c r="E15" s="12"/>
      <c r="F15" s="453" t="s">
        <v>22</v>
      </c>
      <c r="G15" s="454"/>
    </row>
    <row r="16" spans="1:11">
      <c r="A16" s="4"/>
      <c r="F16" s="436"/>
      <c r="G16" s="436"/>
    </row>
    <row r="17" spans="1:11" ht="24.75" customHeight="1" thickBot="1">
      <c r="A17" s="5"/>
      <c r="B17" s="6"/>
      <c r="C17" s="6"/>
      <c r="D17" s="6"/>
      <c r="E17" s="6"/>
      <c r="F17" s="437"/>
      <c r="G17" s="438"/>
    </row>
    <row r="18" spans="1:11" ht="3.75" customHeight="1" thickBot="1"/>
    <row r="19" spans="1:11" ht="74.25" customHeight="1" thickBot="1">
      <c r="A19" s="15" t="s">
        <v>23</v>
      </c>
      <c r="B19" s="14"/>
      <c r="C19" s="7"/>
      <c r="D19" s="13" t="s">
        <v>24</v>
      </c>
      <c r="E19" s="10"/>
      <c r="F19" s="439" t="s">
        <v>25</v>
      </c>
      <c r="G19" s="440"/>
    </row>
    <row r="23" spans="1:11">
      <c r="I23" s="3">
        <v>83945</v>
      </c>
      <c r="J23" s="3">
        <f>470895397/1000</f>
        <v>470895.397</v>
      </c>
      <c r="K23" s="120">
        <f>J23*I23</f>
        <v>39529314101.165001</v>
      </c>
    </row>
    <row r="24" spans="1:11">
      <c r="K24" s="120">
        <v>39435605000</v>
      </c>
    </row>
    <row r="25" spans="1:11">
      <c r="K25" s="120">
        <f>K23-K24</f>
        <v>93709101.165000916</v>
      </c>
    </row>
  </sheetData>
  <mergeCells count="15">
    <mergeCell ref="A7:G7"/>
    <mergeCell ref="A1:G1"/>
    <mergeCell ref="A2:G2"/>
    <mergeCell ref="A3:G3"/>
    <mergeCell ref="F4:G4"/>
    <mergeCell ref="F5:G5"/>
    <mergeCell ref="F16:G16"/>
    <mergeCell ref="F17:G17"/>
    <mergeCell ref="F19:G19"/>
    <mergeCell ref="A8:G8"/>
    <mergeCell ref="E9:F9"/>
    <mergeCell ref="B10:G10"/>
    <mergeCell ref="F11:G11"/>
    <mergeCell ref="F13:G13"/>
    <mergeCell ref="F15:G15"/>
  </mergeCells>
  <printOptions horizontalCentered="1"/>
  <pageMargins left="0.51180993000874897" right="0.51180993000874897" top="0.59055008748906401" bottom="0.59055008748906401" header="0.31496062992126" footer="0.31496062992126"/>
  <pageSetup paperSize="11" scale="6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1:G19"/>
  <sheetViews>
    <sheetView rightToLeft="1" tabSelected="1" view="pageBreakPreview" zoomScaleNormal="100" zoomScaleSheetLayoutView="100" workbookViewId="0">
      <selection activeCell="F11" sqref="F11:G11"/>
    </sheetView>
  </sheetViews>
  <sheetFormatPr defaultColWidth="9.140625" defaultRowHeight="18"/>
  <cols>
    <col min="1" max="1" width="11.140625" style="3" customWidth="1"/>
    <col min="2" max="2" width="29.5703125" style="3" customWidth="1"/>
    <col min="3" max="3" width="11.85546875" style="3" customWidth="1"/>
    <col min="4" max="4" width="25.5703125" style="3" customWidth="1"/>
    <col min="5" max="5" width="15.140625" style="3" customWidth="1"/>
    <col min="6" max="6" width="30.28515625" style="3" customWidth="1"/>
    <col min="7" max="7" width="9.140625" style="3" customWidth="1"/>
    <col min="8" max="16384" width="9.140625" style="3"/>
  </cols>
  <sheetData>
    <row r="1" spans="1:7" ht="18.75">
      <c r="A1" s="456" t="s">
        <v>7</v>
      </c>
      <c r="B1" s="457"/>
      <c r="C1" s="457"/>
      <c r="D1" s="457"/>
      <c r="E1" s="457"/>
      <c r="F1" s="457"/>
      <c r="G1" s="458"/>
    </row>
    <row r="2" spans="1:7" ht="18.75">
      <c r="A2" s="459" t="s">
        <v>732</v>
      </c>
      <c r="B2" s="460"/>
      <c r="C2" s="460"/>
      <c r="D2" s="460"/>
      <c r="E2" s="460"/>
      <c r="F2" s="460"/>
      <c r="G2" s="461"/>
    </row>
    <row r="3" spans="1:7" ht="15.75" customHeight="1">
      <c r="A3" s="459"/>
      <c r="B3" s="460"/>
      <c r="C3" s="460"/>
      <c r="D3" s="460"/>
      <c r="E3" s="460"/>
      <c r="F3" s="460"/>
      <c r="G3" s="461"/>
    </row>
    <row r="4" spans="1:7" ht="13.5" customHeight="1">
      <c r="A4" s="16"/>
      <c r="B4" s="17"/>
      <c r="C4" s="17"/>
      <c r="D4" s="17"/>
      <c r="E4" s="18" t="s">
        <v>8</v>
      </c>
      <c r="F4" s="462" t="str">
        <f>'1401'!B288</f>
        <v>1404/02/07</v>
      </c>
      <c r="G4" s="462"/>
    </row>
    <row r="5" spans="1:7" ht="18.75">
      <c r="A5" s="16"/>
      <c r="B5" s="17"/>
      <c r="C5" s="17"/>
      <c r="D5" s="17"/>
      <c r="E5" s="18" t="s">
        <v>9</v>
      </c>
      <c r="F5" s="463"/>
      <c r="G5" s="463"/>
    </row>
    <row r="6" spans="1:7" ht="25.5" customHeight="1" thickBot="1">
      <c r="A6" s="112" t="s">
        <v>10</v>
      </c>
      <c r="B6" s="113"/>
      <c r="C6" s="113"/>
      <c r="D6" s="113"/>
      <c r="E6" s="113"/>
      <c r="F6" s="113"/>
      <c r="G6" s="114"/>
    </row>
    <row r="7" spans="1:7" ht="3.75" customHeight="1" thickBot="1">
      <c r="A7" s="455"/>
      <c r="B7" s="455"/>
      <c r="C7" s="455"/>
      <c r="D7" s="455"/>
      <c r="E7" s="455"/>
      <c r="F7" s="455"/>
      <c r="G7" s="455"/>
    </row>
    <row r="8" spans="1:7" ht="6" customHeight="1" thickBot="1">
      <c r="A8" s="441"/>
      <c r="B8" s="442"/>
      <c r="C8" s="442"/>
      <c r="D8" s="442"/>
      <c r="E8" s="442"/>
      <c r="F8" s="442"/>
      <c r="G8" s="443"/>
    </row>
    <row r="9" spans="1:7" s="99" customFormat="1" ht="63.75" customHeight="1" thickBot="1">
      <c r="A9" s="105" t="s">
        <v>549</v>
      </c>
      <c r="B9" s="117">
        <f>'1401'!H288</f>
        <v>2889299594</v>
      </c>
      <c r="C9" s="107" t="s">
        <v>11</v>
      </c>
      <c r="D9" s="111" t="s">
        <v>550</v>
      </c>
      <c r="E9" s="444" t="s">
        <v>3252</v>
      </c>
      <c r="F9" s="445"/>
      <c r="G9" s="106" t="s">
        <v>11</v>
      </c>
    </row>
    <row r="10" spans="1:7" s="133" customFormat="1" ht="96" customHeight="1">
      <c r="A10" s="132" t="s">
        <v>12</v>
      </c>
      <c r="B10" s="464" t="str">
        <f>'1401'!F288</f>
        <v>شرکت آدیش جنوبی 'بابت حقوق کارکنان بابت هزینه های مهندسی اسفند ماه 1403 کارکنان</v>
      </c>
      <c r="C10" s="464"/>
      <c r="D10" s="464"/>
      <c r="E10" s="464"/>
      <c r="F10" s="464"/>
      <c r="G10" s="465"/>
    </row>
    <row r="11" spans="1:7" s="99" customFormat="1" ht="52.5" customHeight="1" thickBot="1">
      <c r="A11" s="108" t="s">
        <v>13</v>
      </c>
      <c r="B11" s="109" t="str">
        <f>'1399'!D8</f>
        <v>بانک اقتصادنوین</v>
      </c>
      <c r="C11" s="109"/>
      <c r="D11" s="110" t="s">
        <v>14</v>
      </c>
      <c r="E11" s="109"/>
      <c r="F11" s="449" t="str">
        <f>'1401'!E91</f>
        <v>1556000183918649</v>
      </c>
      <c r="G11" s="450"/>
    </row>
    <row r="12" spans="1:7" ht="3.75" customHeight="1" thickBot="1"/>
    <row r="13" spans="1:7" s="99" customFormat="1" ht="37.5" customHeight="1" thickBot="1">
      <c r="A13" s="115" t="s">
        <v>15</v>
      </c>
      <c r="B13" s="134" t="str">
        <f>'آقای صفائی فراهانی'!C120</f>
        <v>فیش واریزی</v>
      </c>
      <c r="C13" s="116" t="s">
        <v>16</v>
      </c>
      <c r="D13" s="135" t="str">
        <f>'1401'!B288</f>
        <v>1404/02/07</v>
      </c>
      <c r="E13" s="116" t="s">
        <v>17</v>
      </c>
      <c r="F13" s="451" t="str">
        <f>'1399'!A2</f>
        <v>بانک اقتصاد نوین- حساب شماره 1-5278624-2-215</v>
      </c>
      <c r="G13" s="452"/>
    </row>
    <row r="14" spans="1:7" ht="3" customHeight="1" thickBot="1"/>
    <row r="15" spans="1:7" ht="19.5">
      <c r="A15" s="192" t="s">
        <v>20</v>
      </c>
      <c r="B15" s="12" t="s">
        <v>1438</v>
      </c>
      <c r="C15" s="11"/>
      <c r="D15" s="12" t="s">
        <v>21</v>
      </c>
      <c r="E15" s="12"/>
      <c r="F15" s="453" t="s">
        <v>22</v>
      </c>
      <c r="G15" s="454"/>
    </row>
    <row r="16" spans="1:7">
      <c r="A16" s="4"/>
      <c r="F16" s="436"/>
      <c r="G16" s="436"/>
    </row>
    <row r="17" spans="1:7" ht="24.75" customHeight="1" thickBot="1">
      <c r="A17" s="5"/>
      <c r="B17" s="6"/>
      <c r="C17" s="6"/>
      <c r="D17" s="6"/>
      <c r="E17" s="6"/>
      <c r="F17" s="437"/>
      <c r="G17" s="438"/>
    </row>
    <row r="18" spans="1:7" ht="3.75" customHeight="1" thickBot="1"/>
    <row r="19" spans="1:7" ht="74.25" customHeight="1" thickBot="1">
      <c r="A19" s="15" t="s">
        <v>23</v>
      </c>
      <c r="B19" s="14"/>
      <c r="C19" s="7"/>
      <c r="D19" s="13" t="s">
        <v>24</v>
      </c>
      <c r="E19" s="10"/>
      <c r="F19" s="439" t="s">
        <v>25</v>
      </c>
      <c r="G19" s="440"/>
    </row>
  </sheetData>
  <mergeCells count="15">
    <mergeCell ref="F15:G15"/>
    <mergeCell ref="F16:G16"/>
    <mergeCell ref="F17:G17"/>
    <mergeCell ref="F19:G19"/>
    <mergeCell ref="A7:G7"/>
    <mergeCell ref="A8:G8"/>
    <mergeCell ref="F13:G13"/>
    <mergeCell ref="F11:G11"/>
    <mergeCell ref="B10:G10"/>
    <mergeCell ref="E9:F9"/>
    <mergeCell ref="A1:G1"/>
    <mergeCell ref="A2:G2"/>
    <mergeCell ref="A3:G3"/>
    <mergeCell ref="F4:G4"/>
    <mergeCell ref="F5:G5"/>
  </mergeCells>
  <printOptions horizontalCentered="1"/>
  <pageMargins left="0.51181102362204722" right="0.51181102362204722" top="0.59055118110236227" bottom="0.59055118110236227" header="0.31496062992125984" footer="0.31496062992125984"/>
  <pageSetup paperSize="11" scale="6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G414"/>
  <sheetViews>
    <sheetView rightToLeft="1" view="pageBreakPreview" zoomScale="93" zoomScaleNormal="100" zoomScaleSheetLayoutView="93" workbookViewId="0">
      <selection activeCell="B10" sqref="B10:G10"/>
    </sheetView>
  </sheetViews>
  <sheetFormatPr defaultColWidth="9.140625" defaultRowHeight="18"/>
  <cols>
    <col min="1" max="1" width="11.140625" style="3" customWidth="1"/>
    <col min="2" max="2" width="29.5703125" style="3" customWidth="1"/>
    <col min="3" max="3" width="11.85546875" style="3" customWidth="1"/>
    <col min="4" max="4" width="25.5703125" style="3" customWidth="1"/>
    <col min="5" max="5" width="15.140625" style="3" customWidth="1"/>
    <col min="6" max="6" width="30.28515625" style="3" customWidth="1"/>
    <col min="7" max="7" width="9.140625" style="3" customWidth="1"/>
    <col min="8" max="16384" width="9.140625" style="3"/>
  </cols>
  <sheetData>
    <row r="1" spans="1:7" ht="18.75">
      <c r="A1" s="456" t="s">
        <v>7</v>
      </c>
      <c r="B1" s="457"/>
      <c r="C1" s="457"/>
      <c r="D1" s="457"/>
      <c r="E1" s="457"/>
      <c r="F1" s="457"/>
      <c r="G1" s="458"/>
    </row>
    <row r="2" spans="1:7" ht="18.75">
      <c r="A2" s="459" t="s">
        <v>732</v>
      </c>
      <c r="B2" s="460"/>
      <c r="C2" s="460"/>
      <c r="D2" s="460"/>
      <c r="E2" s="460"/>
      <c r="F2" s="460"/>
      <c r="G2" s="461"/>
    </row>
    <row r="3" spans="1:7" ht="15.75" customHeight="1">
      <c r="A3" s="459"/>
      <c r="B3" s="460"/>
      <c r="C3" s="460"/>
      <c r="D3" s="460"/>
      <c r="E3" s="460"/>
      <c r="F3" s="460"/>
      <c r="G3" s="461"/>
    </row>
    <row r="4" spans="1:7" ht="13.5" customHeight="1">
      <c r="A4" s="16"/>
      <c r="B4" s="17"/>
      <c r="C4" s="17"/>
      <c r="D4" s="17"/>
      <c r="E4" s="18" t="s">
        <v>8</v>
      </c>
      <c r="F4" s="462" t="str">
        <f>'1401'!B92</f>
        <v>1401/04/08</v>
      </c>
      <c r="G4" s="462"/>
    </row>
    <row r="5" spans="1:7" ht="18.75">
      <c r="A5" s="16"/>
      <c r="B5" s="17"/>
      <c r="C5" s="17"/>
      <c r="D5" s="17"/>
      <c r="E5" s="18" t="s">
        <v>9</v>
      </c>
      <c r="F5" s="463"/>
      <c r="G5" s="463"/>
    </row>
    <row r="6" spans="1:7" ht="25.5" customHeight="1" thickBot="1">
      <c r="A6" s="112" t="s">
        <v>10</v>
      </c>
      <c r="B6" s="113"/>
      <c r="C6" s="113"/>
      <c r="D6" s="113"/>
      <c r="E6" s="113"/>
      <c r="F6" s="113"/>
      <c r="G6" s="114"/>
    </row>
    <row r="7" spans="1:7" ht="3.75" customHeight="1" thickBot="1">
      <c r="A7" s="455"/>
      <c r="B7" s="455"/>
      <c r="C7" s="455"/>
      <c r="D7" s="455"/>
      <c r="E7" s="455"/>
      <c r="F7" s="455"/>
      <c r="G7" s="455"/>
    </row>
    <row r="8" spans="1:7" ht="6" customHeight="1" thickBot="1">
      <c r="A8" s="441"/>
      <c r="B8" s="442"/>
      <c r="C8" s="442"/>
      <c r="D8" s="442"/>
      <c r="E8" s="442"/>
      <c r="F8" s="442"/>
      <c r="G8" s="443"/>
    </row>
    <row r="9" spans="1:7" s="99" customFormat="1" ht="72" customHeight="1" thickBot="1">
      <c r="A9" s="105" t="s">
        <v>549</v>
      </c>
      <c r="B9" s="117">
        <f>'1401'!H92</f>
        <v>19303900</v>
      </c>
      <c r="C9" s="107" t="s">
        <v>11</v>
      </c>
      <c r="D9" s="111" t="s">
        <v>550</v>
      </c>
      <c r="E9" s="444" t="s">
        <v>2609</v>
      </c>
      <c r="F9" s="445"/>
      <c r="G9" s="106" t="s">
        <v>11</v>
      </c>
    </row>
    <row r="10" spans="1:7" s="137" customFormat="1" ht="114.75" customHeight="1">
      <c r="A10" s="136" t="s">
        <v>12</v>
      </c>
      <c r="B10" s="466" t="str">
        <f>'1401'!F92</f>
        <v>شرکت آدیش جنوبی جهت واریز به حساب IR32 0160 0000 0000 09001 1708 98 نزد بانک کشاورزی بنام شرکت حمل و نقل بین المللی آریافرین بابت بارنامه IR/22.301 ترخیص محموله satti-اینویس 163</v>
      </c>
      <c r="C10" s="466"/>
      <c r="D10" s="466"/>
      <c r="E10" s="466"/>
      <c r="F10" s="466"/>
      <c r="G10" s="467"/>
    </row>
    <row r="11" spans="1:7" s="99" customFormat="1" ht="52.5" customHeight="1" thickBot="1">
      <c r="A11" s="108" t="s">
        <v>13</v>
      </c>
      <c r="B11" s="109" t="str">
        <f>'1399'!D18</f>
        <v>بانک اقتصادنوین</v>
      </c>
      <c r="C11" s="109"/>
      <c r="D11" s="110" t="s">
        <v>14</v>
      </c>
      <c r="E11" s="109"/>
      <c r="F11" s="468"/>
      <c r="G11" s="469"/>
    </row>
    <row r="12" spans="1:7" ht="3.75" customHeight="1" thickBot="1"/>
    <row r="13" spans="1:7" s="99" customFormat="1" ht="37.5" customHeight="1" thickBot="1">
      <c r="A13" s="115" t="s">
        <v>15</v>
      </c>
      <c r="B13" s="134" t="str">
        <f>'1401'!C92</f>
        <v>472643</v>
      </c>
      <c r="C13" s="116" t="s">
        <v>16</v>
      </c>
      <c r="D13" s="135" t="str">
        <f>'1401'!B92</f>
        <v>1401/04/08</v>
      </c>
      <c r="E13" s="116" t="s">
        <v>17</v>
      </c>
      <c r="F13" s="451" t="str">
        <f>'1399'!A2</f>
        <v>بانک اقتصاد نوین- حساب شماره 1-5278624-2-215</v>
      </c>
      <c r="G13" s="452"/>
    </row>
    <row r="14" spans="1:7" ht="3" customHeight="1" thickBot="1"/>
    <row r="15" spans="1:7" ht="19.5">
      <c r="A15" s="192" t="s">
        <v>20</v>
      </c>
      <c r="B15" s="12" t="s">
        <v>1438</v>
      </c>
      <c r="C15" s="11"/>
      <c r="D15" s="12" t="s">
        <v>21</v>
      </c>
      <c r="E15" s="12"/>
      <c r="F15" s="453" t="s">
        <v>22</v>
      </c>
      <c r="G15" s="454"/>
    </row>
    <row r="16" spans="1:7">
      <c r="A16" s="4"/>
      <c r="F16" s="436"/>
      <c r="G16" s="436"/>
    </row>
    <row r="17" spans="1:7" ht="24.75" customHeight="1" thickBot="1">
      <c r="A17" s="5"/>
      <c r="B17" s="6"/>
      <c r="C17" s="6"/>
      <c r="D17" s="6"/>
      <c r="E17" s="6"/>
      <c r="F17" s="437"/>
      <c r="G17" s="438"/>
    </row>
    <row r="18" spans="1:7" ht="3.75" customHeight="1" thickBot="1"/>
    <row r="19" spans="1:7" ht="74.25" customHeight="1" thickBot="1">
      <c r="A19" s="15" t="s">
        <v>23</v>
      </c>
      <c r="B19" s="14"/>
      <c r="C19" s="7"/>
      <c r="D19" s="13" t="s">
        <v>24</v>
      </c>
      <c r="E19" s="10"/>
      <c r="F19" s="439" t="s">
        <v>25</v>
      </c>
      <c r="G19" s="440"/>
    </row>
    <row r="414" spans="4:4">
      <c r="D414" s="127" t="s">
        <v>613</v>
      </c>
    </row>
  </sheetData>
  <mergeCells count="15">
    <mergeCell ref="A7:G7"/>
    <mergeCell ref="A1:G1"/>
    <mergeCell ref="A2:G2"/>
    <mergeCell ref="A3:G3"/>
    <mergeCell ref="F4:G4"/>
    <mergeCell ref="F5:G5"/>
    <mergeCell ref="F16:G16"/>
    <mergeCell ref="F17:G17"/>
    <mergeCell ref="F19:G19"/>
    <mergeCell ref="A8:G8"/>
    <mergeCell ref="E9:F9"/>
    <mergeCell ref="B10:G10"/>
    <mergeCell ref="F11:G11"/>
    <mergeCell ref="F13:G13"/>
    <mergeCell ref="F15:G15"/>
  </mergeCells>
  <printOptions horizontalCentered="1"/>
  <pageMargins left="0.51181102362204722" right="0.51181102362204722" top="0.59055118110236227" bottom="0.59055118110236227" header="0.31496062992125984" footer="0.31496062992125984"/>
  <pageSetup paperSize="11" scale="6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A1:G19"/>
  <sheetViews>
    <sheetView rightToLeft="1" view="pageBreakPreview" zoomScaleNormal="100" zoomScaleSheetLayoutView="100" workbookViewId="0">
      <selection activeCell="K16" sqref="K16"/>
    </sheetView>
  </sheetViews>
  <sheetFormatPr defaultColWidth="9.140625" defaultRowHeight="18"/>
  <cols>
    <col min="1" max="1" width="11.140625" style="3" customWidth="1"/>
    <col min="2" max="2" width="29.5703125" style="3" customWidth="1"/>
    <col min="3" max="3" width="11.85546875" style="3" customWidth="1"/>
    <col min="4" max="4" width="25.5703125" style="3" customWidth="1"/>
    <col min="5" max="5" width="15.140625" style="3" customWidth="1"/>
    <col min="6" max="6" width="30.28515625" style="3" customWidth="1"/>
    <col min="7" max="7" width="9.140625" style="3" customWidth="1"/>
    <col min="8" max="16384" width="9.140625" style="3"/>
  </cols>
  <sheetData>
    <row r="1" spans="1:7" ht="18.75">
      <c r="A1" s="456" t="s">
        <v>7</v>
      </c>
      <c r="B1" s="457"/>
      <c r="C1" s="457"/>
      <c r="D1" s="457"/>
      <c r="E1" s="457"/>
      <c r="F1" s="457"/>
      <c r="G1" s="458"/>
    </row>
    <row r="2" spans="1:7" ht="18.75">
      <c r="A2" s="459" t="s">
        <v>732</v>
      </c>
      <c r="B2" s="460"/>
      <c r="C2" s="460"/>
      <c r="D2" s="460"/>
      <c r="E2" s="460"/>
      <c r="F2" s="460"/>
      <c r="G2" s="461"/>
    </row>
    <row r="3" spans="1:7" ht="15.75" customHeight="1">
      <c r="A3" s="459"/>
      <c r="B3" s="460"/>
      <c r="C3" s="460"/>
      <c r="D3" s="460"/>
      <c r="E3" s="460"/>
      <c r="F3" s="460"/>
      <c r="G3" s="461"/>
    </row>
    <row r="4" spans="1:7" ht="13.5" customHeight="1">
      <c r="A4" s="16"/>
      <c r="B4" s="17"/>
      <c r="C4" s="17"/>
      <c r="D4" s="17"/>
      <c r="E4" s="18" t="s">
        <v>8</v>
      </c>
      <c r="F4" s="462" t="str">
        <f>D13</f>
        <v>1400/08/10</v>
      </c>
      <c r="G4" s="462"/>
    </row>
    <row r="5" spans="1:7" ht="18.75">
      <c r="A5" s="16"/>
      <c r="B5" s="17"/>
      <c r="C5" s="17"/>
      <c r="D5" s="17"/>
      <c r="E5" s="18" t="s">
        <v>9</v>
      </c>
      <c r="F5" s="470"/>
      <c r="G5" s="463"/>
    </row>
    <row r="6" spans="1:7" ht="25.5" customHeight="1" thickBot="1">
      <c r="A6" s="112" t="s">
        <v>10</v>
      </c>
      <c r="B6" s="113"/>
      <c r="C6" s="113"/>
      <c r="D6" s="113"/>
      <c r="E6" s="113"/>
      <c r="F6" s="113"/>
      <c r="G6" s="114"/>
    </row>
    <row r="7" spans="1:7" ht="3.75" customHeight="1" thickBot="1">
      <c r="A7" s="455"/>
      <c r="B7" s="455"/>
      <c r="C7" s="455"/>
      <c r="D7" s="455"/>
      <c r="E7" s="455"/>
      <c r="F7" s="455"/>
      <c r="G7" s="455"/>
    </row>
    <row r="8" spans="1:7" ht="6" customHeight="1" thickBot="1">
      <c r="A8" s="441"/>
      <c r="B8" s="442"/>
      <c r="C8" s="442"/>
      <c r="D8" s="442"/>
      <c r="E8" s="442"/>
      <c r="F8" s="442"/>
      <c r="G8" s="443"/>
    </row>
    <row r="9" spans="1:7" s="99" customFormat="1" ht="63.75" customHeight="1" thickBot="1">
      <c r="A9" s="105" t="s">
        <v>549</v>
      </c>
      <c r="B9" s="117">
        <f>'1400'!H289</f>
        <v>10000000000</v>
      </c>
      <c r="C9" s="107" t="s">
        <v>11</v>
      </c>
      <c r="D9" s="111" t="s">
        <v>550</v>
      </c>
      <c r="E9" s="444" t="s">
        <v>2105</v>
      </c>
      <c r="F9" s="445"/>
      <c r="G9" s="106" t="s">
        <v>11</v>
      </c>
    </row>
    <row r="10" spans="1:7" s="133" customFormat="1" ht="90.75" customHeight="1">
      <c r="A10" s="132" t="s">
        <v>12</v>
      </c>
      <c r="B10" s="464" t="str">
        <f>'1400'!F289</f>
        <v>شرکت آدیش جنوبی جهت واریز به حساب  1-6381404-850-215 نزد بانک اقتصادنوین بنام شرکت سپهرمولد بابت علی الحساب ق ADSH-E-CO-GE-008</v>
      </c>
      <c r="C10" s="464"/>
      <c r="D10" s="464"/>
      <c r="E10" s="464"/>
      <c r="F10" s="464"/>
      <c r="G10" s="465"/>
    </row>
    <row r="11" spans="1:7" s="99" customFormat="1" ht="52.5" customHeight="1" thickBot="1">
      <c r="A11" s="108" t="s">
        <v>13</v>
      </c>
      <c r="B11" s="109" t="str">
        <f>'1399'!D19</f>
        <v>بانک اقتصادنوین</v>
      </c>
      <c r="C11" s="109"/>
      <c r="D11" s="110" t="s">
        <v>14</v>
      </c>
      <c r="E11" s="109"/>
      <c r="F11" s="468"/>
      <c r="G11" s="469"/>
    </row>
    <row r="12" spans="1:7" ht="3.75" customHeight="1" thickBot="1"/>
    <row r="13" spans="1:7" s="99" customFormat="1" ht="37.5" customHeight="1" thickBot="1">
      <c r="A13" s="115" t="s">
        <v>15</v>
      </c>
      <c r="B13" s="134">
        <f>'1400'!C289</f>
        <v>787169</v>
      </c>
      <c r="C13" s="116" t="s">
        <v>16</v>
      </c>
      <c r="D13" s="135" t="str">
        <f>'1400'!B289</f>
        <v>1400/08/10</v>
      </c>
      <c r="E13" s="116" t="s">
        <v>17</v>
      </c>
      <c r="F13" s="451" t="str">
        <f>'1399'!A2</f>
        <v>بانک اقتصاد نوین- حساب شماره 1-5278624-2-215</v>
      </c>
      <c r="G13" s="452"/>
    </row>
    <row r="14" spans="1:7" ht="3" customHeight="1" thickBot="1"/>
    <row r="15" spans="1:7" ht="19.5">
      <c r="A15" s="192" t="s">
        <v>20</v>
      </c>
      <c r="B15" s="12" t="s">
        <v>1438</v>
      </c>
      <c r="C15" s="11"/>
      <c r="D15" s="12" t="s">
        <v>21</v>
      </c>
      <c r="E15" s="12"/>
      <c r="F15" s="453" t="s">
        <v>22</v>
      </c>
      <c r="G15" s="454"/>
    </row>
    <row r="16" spans="1:7">
      <c r="A16" s="4"/>
      <c r="F16" s="436"/>
      <c r="G16" s="436"/>
    </row>
    <row r="17" spans="1:7" ht="24.75" customHeight="1" thickBot="1">
      <c r="A17" s="5"/>
      <c r="B17" s="6"/>
      <c r="C17" s="6"/>
      <c r="D17" s="6"/>
      <c r="E17" s="6"/>
      <c r="F17" s="437"/>
      <c r="G17" s="438"/>
    </row>
    <row r="18" spans="1:7" ht="3.75" customHeight="1" thickBot="1"/>
    <row r="19" spans="1:7" ht="74.25" customHeight="1" thickBot="1">
      <c r="A19" s="15" t="s">
        <v>23</v>
      </c>
      <c r="B19" s="14"/>
      <c r="C19" s="7"/>
      <c r="D19" s="13" t="s">
        <v>24</v>
      </c>
      <c r="E19" s="10"/>
      <c r="F19" s="439" t="s">
        <v>25</v>
      </c>
      <c r="G19" s="440"/>
    </row>
  </sheetData>
  <mergeCells count="15">
    <mergeCell ref="A7:G7"/>
    <mergeCell ref="A1:G1"/>
    <mergeCell ref="A2:G2"/>
    <mergeCell ref="A3:G3"/>
    <mergeCell ref="F4:G4"/>
    <mergeCell ref="F5:G5"/>
    <mergeCell ref="F16:G16"/>
    <mergeCell ref="F17:G17"/>
    <mergeCell ref="F19:G19"/>
    <mergeCell ref="A8:G8"/>
    <mergeCell ref="E9:F9"/>
    <mergeCell ref="B10:G10"/>
    <mergeCell ref="F11:G11"/>
    <mergeCell ref="F13:G13"/>
    <mergeCell ref="F15:G15"/>
  </mergeCells>
  <printOptions horizontalCentered="1"/>
  <pageMargins left="0.51181102362204722" right="0.51181102362204722" top="0.59055118110236227" bottom="0.59055118110236227" header="0.31496062992125984" footer="0.31496062992125984"/>
  <pageSetup paperSize="11"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20</vt:i4>
      </vt:variant>
    </vt:vector>
  </HeadingPairs>
  <TitlesOfParts>
    <vt:vector size="37" baseType="lpstr">
      <vt:lpstr>آقای صفائی فراهانی</vt:lpstr>
      <vt:lpstr>1398</vt:lpstr>
      <vt:lpstr>1399</vt:lpstr>
      <vt:lpstr>1400</vt:lpstr>
      <vt:lpstr>1401</vt:lpstr>
      <vt:lpstr>1</vt:lpstr>
      <vt:lpstr>2</vt:lpstr>
      <vt:lpstr>3</vt:lpstr>
      <vt:lpstr>4</vt:lpstr>
      <vt:lpstr>5</vt:lpstr>
      <vt:lpstr>6</vt:lpstr>
      <vt:lpstr>7</vt:lpstr>
      <vt:lpstr>8</vt:lpstr>
      <vt:lpstr>9</vt:lpstr>
      <vt:lpstr>10</vt:lpstr>
      <vt:lpstr>Sheet1</vt:lpstr>
      <vt:lpstr>Sheet2</vt:lpstr>
      <vt:lpstr>'1'!Print_Area</vt:lpstr>
      <vt:lpstr>'10'!Print_Area</vt:lpstr>
      <vt:lpstr>'1398'!Print_Area</vt:lpstr>
      <vt:lpstr>'1399'!Print_Area</vt:lpstr>
      <vt:lpstr>'1400'!Print_Area</vt:lpstr>
      <vt:lpstr>'1401'!Print_Area</vt:lpstr>
      <vt:lpstr>'2'!Print_Area</vt:lpstr>
      <vt:lpstr>'3'!Print_Area</vt:lpstr>
      <vt:lpstr>'4'!Print_Area</vt:lpstr>
      <vt:lpstr>'5'!Print_Area</vt:lpstr>
      <vt:lpstr>'6'!Print_Area</vt:lpstr>
      <vt:lpstr>'7'!Print_Area</vt:lpstr>
      <vt:lpstr>'8'!Print_Area</vt:lpstr>
      <vt:lpstr>'9'!Print_Area</vt:lpstr>
      <vt:lpstr>'آقای صفائی فراهانی'!Print_Area</vt:lpstr>
      <vt:lpstr>'1398'!Print_Titles</vt:lpstr>
      <vt:lpstr>'1399'!Print_Titles</vt:lpstr>
      <vt:lpstr>'1400'!Print_Titles</vt:lpstr>
      <vt:lpstr>'1401'!Print_Titles</vt:lpstr>
      <vt:lpstr>'آقای صفائی فراهانی'!Print_Titles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aminzadeh@adishrefinery.com</dc:creator>
  <cp:lastModifiedBy>Sepideh Japalaghi</cp:lastModifiedBy>
  <cp:lastPrinted>2025-04-27T11:00:12Z</cp:lastPrinted>
  <dcterms:created xsi:type="dcterms:W3CDTF">2015-08-25T07:31:20Z</dcterms:created>
  <dcterms:modified xsi:type="dcterms:W3CDTF">2025-04-27T11:01:00Z</dcterms:modified>
</cp:coreProperties>
</file>