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japalaghi\Desktop\"/>
    </mc:Choice>
  </mc:AlternateContent>
  <xr:revisionPtr revIDLastSave="0" documentId="13_ncr:1_{E1F4A59E-3408-4F73-92CB-4D7D0031D12D}" xr6:coauthVersionLast="47" xr6:coauthVersionMax="47" xr10:uidLastSave="{00000000-0000-0000-0000-000000000000}"/>
  <bookViews>
    <workbookView xWindow="-120" yWindow="-120" windowWidth="29040" windowHeight="15840" xr2:uid="{06565120-389C-4BCC-B201-9192C01FCE7F}"/>
  </bookViews>
  <sheets>
    <sheet name="شماره کنتور  " sheetId="6" r:id="rId1"/>
    <sheet name="(قبلی -شماره کنتور 1146105" sheetId="5" r:id="rId2"/>
  </sheets>
  <definedNames>
    <definedName name="_xlnm.Print_Area" localSheetId="1">'(قبلی -شماره کنتور 1146105'!$A$1:$U$12</definedName>
    <definedName name="_xlnm.Print_Area" localSheetId="0">'شماره کنتور  '!$A$1:$Y$92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6" l="1"/>
  <c r="F8" i="6"/>
  <c r="G18" i="6"/>
  <c r="F18" i="6"/>
  <c r="R29" i="6"/>
  <c r="R19" i="6"/>
  <c r="Q19" i="6"/>
  <c r="R48" i="6"/>
  <c r="R9" i="6"/>
  <c r="Q9" i="6"/>
  <c r="R59" i="6"/>
  <c r="Q59" i="6"/>
  <c r="R79" i="6"/>
  <c r="Q79" i="6"/>
  <c r="R39" i="6"/>
  <c r="Q39" i="6"/>
  <c r="Q29" i="6"/>
  <c r="X48" i="6"/>
  <c r="Q48" i="6"/>
  <c r="R58" i="6"/>
  <c r="Y58" i="6"/>
  <c r="Y57" i="6"/>
  <c r="Y56" i="6"/>
  <c r="Y55" i="6"/>
  <c r="Y48" i="6"/>
  <c r="Y5" i="6"/>
  <c r="Y78" i="6"/>
  <c r="Y77" i="6"/>
  <c r="Y76" i="6"/>
  <c r="Y75" i="6"/>
  <c r="Y68" i="6"/>
  <c r="Y67" i="6"/>
  <c r="Y66" i="6"/>
  <c r="Y65" i="6"/>
  <c r="Y47" i="6"/>
  <c r="Y46" i="6"/>
  <c r="Y45" i="6"/>
  <c r="Y28" i="6"/>
  <c r="Y27" i="6"/>
  <c r="Y26" i="6"/>
  <c r="Y25" i="6"/>
  <c r="Y18" i="6"/>
  <c r="Y17" i="6"/>
  <c r="Y16" i="6"/>
  <c r="Y15" i="6"/>
  <c r="Y6" i="6"/>
  <c r="Y7" i="6"/>
  <c r="Y8" i="6"/>
  <c r="X78" i="6"/>
  <c r="X77" i="6"/>
  <c r="X76" i="6"/>
  <c r="X75" i="6"/>
  <c r="X68" i="6"/>
  <c r="X67" i="6"/>
  <c r="X66" i="6"/>
  <c r="X65" i="6"/>
  <c r="X58" i="6"/>
  <c r="X57" i="6"/>
  <c r="X56" i="6"/>
  <c r="X55" i="6"/>
  <c r="X47" i="6"/>
  <c r="X46" i="6"/>
  <c r="X45" i="6"/>
  <c r="X38" i="6"/>
  <c r="X37" i="6"/>
  <c r="X36" i="6"/>
  <c r="X35" i="6"/>
  <c r="X28" i="6"/>
  <c r="X27" i="6"/>
  <c r="X26" i="6"/>
  <c r="X25" i="6"/>
  <c r="X18" i="6"/>
  <c r="X17" i="6"/>
  <c r="X16" i="6"/>
  <c r="X15" i="6"/>
  <c r="X8" i="6"/>
  <c r="X7" i="6"/>
  <c r="X6" i="6"/>
  <c r="X5" i="6"/>
  <c r="R78" i="6"/>
  <c r="R77" i="6"/>
  <c r="Q78" i="6"/>
  <c r="R68" i="6"/>
  <c r="R67" i="6"/>
  <c r="Q68" i="6"/>
  <c r="Q47" i="6"/>
  <c r="R47" i="6"/>
  <c r="R46" i="6"/>
  <c r="R28" i="6"/>
  <c r="R27" i="6"/>
  <c r="Q28" i="6"/>
  <c r="R18" i="6"/>
  <c r="R17" i="6"/>
  <c r="Q18" i="6"/>
  <c r="R8" i="6"/>
  <c r="R7" i="6"/>
  <c r="Q8" i="6"/>
  <c r="R38" i="6"/>
  <c r="R37" i="6"/>
  <c r="Q38" i="6"/>
  <c r="G8" i="6"/>
  <c r="G7" i="6"/>
  <c r="G38" i="6"/>
  <c r="F38" i="6"/>
  <c r="G68" i="6"/>
  <c r="G67" i="6"/>
  <c r="F68" i="6"/>
  <c r="G17" i="6"/>
  <c r="G28" i="6"/>
  <c r="G27" i="6"/>
  <c r="G48" i="6"/>
  <c r="G47" i="6"/>
  <c r="F48" i="6"/>
  <c r="G58" i="6"/>
  <c r="G57" i="6"/>
  <c r="F58" i="6"/>
  <c r="G37" i="6"/>
  <c r="F78" i="6"/>
  <c r="G77" i="6"/>
  <c r="G78" i="6"/>
  <c r="F77" i="6"/>
  <c r="G76" i="6"/>
  <c r="F76" i="6"/>
  <c r="G75" i="6"/>
  <c r="F75" i="6"/>
  <c r="F67" i="6"/>
  <c r="G66" i="6"/>
  <c r="F66" i="6"/>
  <c r="G65" i="6"/>
  <c r="F65" i="6"/>
  <c r="F57" i="6"/>
  <c r="G56" i="6"/>
  <c r="F56" i="6"/>
  <c r="G55" i="6"/>
  <c r="F47" i="6"/>
  <c r="G46" i="6"/>
  <c r="F46" i="6"/>
  <c r="G45" i="6"/>
  <c r="F45" i="6"/>
  <c r="F37" i="6"/>
  <c r="F27" i="6"/>
  <c r="G36" i="6"/>
  <c r="F36" i="6"/>
  <c r="F35" i="6"/>
  <c r="G35" i="6"/>
  <c r="G26" i="6"/>
  <c r="F26" i="6"/>
  <c r="G25" i="6"/>
  <c r="F25" i="6"/>
  <c r="F17" i="6"/>
  <c r="G16" i="6"/>
  <c r="F16" i="6"/>
  <c r="G15" i="6"/>
  <c r="F15" i="6"/>
  <c r="F7" i="6"/>
  <c r="G6" i="6"/>
  <c r="F6" i="6"/>
  <c r="F5" i="6"/>
  <c r="G5" i="6"/>
  <c r="J10" i="5"/>
  <c r="J9" i="5"/>
  <c r="J8" i="5"/>
  <c r="J7" i="5"/>
  <c r="J6" i="5"/>
  <c r="J5" i="5"/>
  <c r="J4" i="5"/>
  <c r="J11" i="5" l="1"/>
  <c r="K4" i="5" s="1"/>
  <c r="P4" i="5" s="1"/>
  <c r="U4" i="5" s="1"/>
</calcChain>
</file>

<file path=xl/sharedStrings.xml><?xml version="1.0" encoding="utf-8"?>
<sst xmlns="http://schemas.openxmlformats.org/spreadsheetml/2006/main" count="393" uniqueCount="78">
  <si>
    <t>ردیف</t>
  </si>
  <si>
    <t>روزهای مصرف</t>
  </si>
  <si>
    <t xml:space="preserve">مالیات بر ارزش افزوده </t>
  </si>
  <si>
    <t>تاریخ دوره</t>
  </si>
  <si>
    <t>صورتحساب برق به شماره کنتور 1146105 سال 1402</t>
  </si>
  <si>
    <t xml:space="preserve"> 1401/10/20الی1402/01/15</t>
  </si>
  <si>
    <t xml:space="preserve">شماره بدنه کنتور </t>
  </si>
  <si>
    <t>مصرف کل دوره  ( Kwh)</t>
  </si>
  <si>
    <t xml:space="preserve">پله های مصرف 30 روزه </t>
  </si>
  <si>
    <t>نرخ (ریال)</t>
  </si>
  <si>
    <t xml:space="preserve">مصرف 30 روزه </t>
  </si>
  <si>
    <t xml:space="preserve">مبلغ 30 روزه </t>
  </si>
  <si>
    <t>مصرف 0 تا 100</t>
  </si>
  <si>
    <t>مازاد بر 100تا 200</t>
  </si>
  <si>
    <t>مازاد بر 200 تا 300</t>
  </si>
  <si>
    <t>مازاد بر 300 تا 400</t>
  </si>
  <si>
    <t>مازاد بر 400 تا 500</t>
  </si>
  <si>
    <t>مازاد بر 500 تا 600</t>
  </si>
  <si>
    <t>مازاد بر  600</t>
  </si>
  <si>
    <t xml:space="preserve"> 43*(30/مبلغ ماهانه)</t>
  </si>
  <si>
    <t xml:space="preserve">  جمع : </t>
  </si>
  <si>
    <t xml:space="preserve">فرمول محاسبه و مبلغ </t>
  </si>
  <si>
    <t xml:space="preserve">مبلغ تا تغییر نرخ </t>
  </si>
  <si>
    <t xml:space="preserve">هزینه مصرف اوج بار </t>
  </si>
  <si>
    <t>آبونمان</t>
  </si>
  <si>
    <t xml:space="preserve">بهای برق دوره </t>
  </si>
  <si>
    <t xml:space="preserve">کسور: تخفیف مبلغ کم باری </t>
  </si>
  <si>
    <t>بهای برق دوره*9%</t>
  </si>
  <si>
    <t xml:space="preserve">مبلغ بیمه </t>
  </si>
  <si>
    <t xml:space="preserve">عوارض برق </t>
  </si>
  <si>
    <t xml:space="preserve">بستانکاری </t>
  </si>
  <si>
    <t xml:space="preserve">مبلغ قابل پرداخت </t>
  </si>
  <si>
    <t>تاریخ شروع</t>
  </si>
  <si>
    <t xml:space="preserve">تاریخ پایان </t>
  </si>
  <si>
    <t>1402/01/15</t>
  </si>
  <si>
    <t xml:space="preserve"> 1401/10/20</t>
  </si>
  <si>
    <t xml:space="preserve">مصرف قبلی </t>
  </si>
  <si>
    <t>تعداد روزهای مصرف</t>
  </si>
  <si>
    <t xml:space="preserve">مبلغ قابل پرداخت (ریال) </t>
  </si>
  <si>
    <t xml:space="preserve">مصرف فعلی </t>
  </si>
  <si>
    <t>1402/03/10</t>
  </si>
  <si>
    <t>مصرف کل دوره (kwh)</t>
  </si>
  <si>
    <t>1402/05/01</t>
  </si>
  <si>
    <t>1402/07/01</t>
  </si>
  <si>
    <t>-</t>
  </si>
  <si>
    <t>صورتحساب برق به شماره کنتور 1146105 شناسه قبض 9126572204126 سال 1402</t>
  </si>
  <si>
    <t>صورتحساب برق به شماره کنتور 1146097 شناسه قبض 9545302604125 سال 1402</t>
  </si>
  <si>
    <t>صورتحساب برق به شماره کنتور 12039960007173 شناسه قبض 9126572104121 سال 1402</t>
  </si>
  <si>
    <t xml:space="preserve"> 1401/10/18</t>
  </si>
  <si>
    <t>1402/04/29</t>
  </si>
  <si>
    <t>صورتحساب برق به شماره کنتور 61020198 شناسه قبض 9555496904120 سال 1402</t>
  </si>
  <si>
    <t>صورتحساب برق به شماره کنتور 61020195 شناسه قبض 9555496804125 سال 1402</t>
  </si>
  <si>
    <t>صورتحساب برق به شماره کنتور 11030111378680 شناسه قبض 9555497104127 سال 1402</t>
  </si>
  <si>
    <t xml:space="preserve"> 1401/12/08</t>
  </si>
  <si>
    <t>صورتحساب برق به شماره کنتور 12039960007172 شناسه قبض 9126572304120 سال 1402</t>
  </si>
  <si>
    <t>صورتحساب برق به شماره کنتور 61020191 شناسه قبض 9555497004122 سال 1402</t>
  </si>
  <si>
    <t>صورتحساب برق به شماره کنتور 1146105 شناسه قبض 9126572204126 سال 1401</t>
  </si>
  <si>
    <t>صورتحساب برق به شماره کنتور 61020198 شناسه قبض 9555496904120 سال 1401</t>
  </si>
  <si>
    <t>صورتحساب برق به شماره کنتور 1146097 شناسه قبض 9545302604125 سال 1401</t>
  </si>
  <si>
    <t>صورتحساب برق به شماره کنتور 12039960007173 شناسه قبض 9126572104121 سال 1401</t>
  </si>
  <si>
    <t xml:space="preserve"> 1400/10/21</t>
  </si>
  <si>
    <t>1401/01/16</t>
  </si>
  <si>
    <t>1401/03/18</t>
  </si>
  <si>
    <t>1401/05/12</t>
  </si>
  <si>
    <t>1401/06/30</t>
  </si>
  <si>
    <t>1401/07/01</t>
  </si>
  <si>
    <t xml:space="preserve"> 1400/10/18</t>
  </si>
  <si>
    <t>صورتحساب برق به شماره کنتور 61020195 شناسه قبض 9555496804125 سال 1401</t>
  </si>
  <si>
    <t>1401/06/27</t>
  </si>
  <si>
    <t>صورتحساب برق به شماره کنتور 11030111378680 شناسه قبض 9555497104127 سال 1401</t>
  </si>
  <si>
    <t>صورتحساب برق به شماره کنتور 61020191 شناسه قبض 9555497004122 سال 1401</t>
  </si>
  <si>
    <t>صورتحساب برق به شماره کنتور 12039960007172 شناسه قبض 9126572304120 سال 1401</t>
  </si>
  <si>
    <t>درصد افزایش سالانه</t>
  </si>
  <si>
    <t>تفاوت</t>
  </si>
  <si>
    <t>1401/08/23</t>
  </si>
  <si>
    <t>1401/08/20</t>
  </si>
  <si>
    <t xml:space="preserve">تکراری </t>
  </si>
  <si>
    <t>تکراری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</si>
</sst>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ريال&quot;\ #,##0_-"/>
    <numFmt numFmtId="165" formatCode="mm/dd/yy;@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B Nazanin"/>
      <charset val="178"/>
    </font>
    <font>
      <b/>
      <sz val="10"/>
      <color theme="1"/>
      <name val="B Lotus"/>
      <charset val="178"/>
    </font>
    <font>
      <sz val="10"/>
      <color theme="1"/>
      <name val="B Lotus"/>
      <charset val="178"/>
    </font>
    <font>
      <b/>
      <sz val="8"/>
      <color theme="1"/>
      <name val="B Lotus"/>
      <charset val="178"/>
    </font>
    <font>
      <b/>
      <sz val="8"/>
      <color theme="1"/>
      <name val="B Nazanin"/>
      <charset val="178"/>
    </font>
    <font>
      <b/>
      <sz val="9"/>
      <color theme="1"/>
      <name val="B Nazanin"/>
      <charset val="17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 applyProtection="1">
      <alignment horizontal="center" vertical="center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 readingOrder="2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38" fontId="3" fillId="0" borderId="0" xfId="0" applyNumberFormat="1" applyFont="1" applyAlignment="1" applyProtection="1">
      <alignment horizontal="center" vertical="center"/>
      <protection locked="0"/>
    </xf>
    <xf numFmtId="38" fontId="2" fillId="0" borderId="0" xfId="0" applyNumberFormat="1" applyFont="1" applyAlignment="1" applyProtection="1">
      <alignment horizontal="center" vertical="center"/>
      <protection locked="0"/>
    </xf>
    <xf numFmtId="10" fontId="3" fillId="0" borderId="0" xfId="1" applyNumberFormat="1" applyFont="1" applyAlignment="1" applyProtection="1">
      <alignment horizontal="center" vertical="center"/>
      <protection locked="0"/>
    </xf>
    <xf numFmtId="10" fontId="2" fillId="0" borderId="0" xfId="1" applyNumberFormat="1" applyFont="1" applyAlignment="1" applyProtection="1">
      <alignment horizontal="center" vertical="center"/>
      <protection locked="0"/>
    </xf>
    <xf numFmtId="38" fontId="3" fillId="0" borderId="1" xfId="0" applyNumberFormat="1" applyFont="1" applyBorder="1" applyAlignment="1" applyProtection="1">
      <alignment horizontal="center" vertical="center"/>
      <protection locked="0"/>
    </xf>
    <xf numFmtId="10" fontId="3" fillId="0" borderId="1" xfId="1" applyNumberFormat="1" applyFont="1" applyBorder="1" applyAlignment="1" applyProtection="1">
      <alignment horizontal="center" vertical="center"/>
      <protection locked="0"/>
    </xf>
    <xf numFmtId="165" fontId="3" fillId="0" borderId="0" xfId="0" applyNumberFormat="1" applyFont="1" applyAlignment="1" applyProtection="1">
      <alignment horizontal="center" vertical="center"/>
      <protection locked="0"/>
    </xf>
    <xf numFmtId="3" fontId="3" fillId="0" borderId="0" xfId="0" applyNumberFormat="1" applyFont="1" applyAlignment="1">
      <alignment horizontal="center" vertical="center"/>
    </xf>
    <xf numFmtId="10" fontId="3" fillId="0" borderId="0" xfId="1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3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3" fontId="3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165" fontId="3" fillId="0" borderId="3" xfId="0" applyNumberFormat="1" applyFont="1" applyBorder="1" applyAlignment="1" applyProtection="1">
      <alignment horizontal="center" vertical="center"/>
      <protection locked="0"/>
    </xf>
    <xf numFmtId="165" fontId="3" fillId="0" borderId="4" xfId="0" applyNumberFormat="1" applyFont="1" applyBorder="1" applyAlignment="1" applyProtection="1">
      <alignment horizontal="center" vertical="center"/>
      <protection locked="0"/>
    </xf>
    <xf numFmtId="165" fontId="3" fillId="0" borderId="8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65" fontId="3" fillId="0" borderId="2" xfId="0" applyNumberFormat="1" applyFont="1" applyBorder="1" applyAlignment="1" applyProtection="1">
      <alignment horizontal="right" vertical="center"/>
      <protection locked="0"/>
    </xf>
    <xf numFmtId="165" fontId="3" fillId="0" borderId="5" xfId="0" applyNumberFormat="1" applyFont="1" applyBorder="1" applyAlignment="1" applyProtection="1">
      <alignment horizontal="right" vertical="center"/>
      <protection locked="0"/>
    </xf>
    <xf numFmtId="165" fontId="3" fillId="0" borderId="6" xfId="0" applyNumberFormat="1" applyFont="1" applyBorder="1" applyAlignment="1" applyProtection="1">
      <alignment horizontal="right" vertical="center"/>
      <protection locked="0"/>
    </xf>
    <xf numFmtId="164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3" fontId="3" fillId="0" borderId="0" xfId="0" applyNumberFormat="1" applyFont="1" applyBorder="1" applyAlignment="1" applyProtection="1">
      <alignment horizontal="center" vertical="center"/>
      <protection locked="0"/>
    </xf>
    <xf numFmtId="3" fontId="3" fillId="0" borderId="0" xfId="0" applyNumberFormat="1" applyFont="1" applyBorder="1" applyAlignment="1">
      <alignment horizontal="center" vertical="center"/>
    </xf>
    <xf numFmtId="38" fontId="3" fillId="0" borderId="0" xfId="0" applyNumberFormat="1" applyFont="1" applyBorder="1" applyAlignment="1" applyProtection="1">
      <alignment horizontal="center" vertical="center"/>
      <protection locked="0"/>
    </xf>
    <xf numFmtId="165" fontId="3" fillId="0" borderId="0" xfId="0" applyNumberFormat="1" applyFont="1" applyBorder="1" applyAlignment="1" applyProtection="1">
      <alignment horizontal="center" vertical="center"/>
      <protection locked="0"/>
    </xf>
    <xf numFmtId="3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3" fontId="3" fillId="0" borderId="0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66361-D7FC-4DFC-908B-7CEFE9B7B075}">
  <dimension ref="A2:Y79"/>
  <sheetViews>
    <sheetView rightToLeft="1" tabSelected="1" view="pageBreakPreview" zoomScale="85" zoomScaleNormal="100" zoomScaleSheetLayoutView="85" zoomScalePageLayoutView="70" workbookViewId="0">
      <selection activeCell="J73" sqref="J73"/>
    </sheetView>
  </sheetViews>
  <sheetFormatPr defaultColWidth="9" defaultRowHeight="17.25" x14ac:dyDescent="0.25"/>
  <cols>
    <col min="1" max="1" width="2" style="4" customWidth="1"/>
    <col min="2" max="2" width="4" style="4" bestFit="1" customWidth="1"/>
    <col min="3" max="4" width="8.140625" style="4" customWidth="1"/>
    <col min="5" max="5" width="5.28515625" style="4" customWidth="1"/>
    <col min="6" max="6" width="8" style="4" customWidth="1"/>
    <col min="7" max="8" width="8" style="13" customWidth="1"/>
    <col min="9" max="9" width="10.7109375" style="4" customWidth="1"/>
    <col min="10" max="10" width="9.28515625" style="4" customWidth="1"/>
    <col min="11" max="11" width="10.7109375" style="4" customWidth="1"/>
    <col min="12" max="12" width="2.140625" style="4" customWidth="1"/>
    <col min="13" max="13" width="4" style="4" bestFit="1" customWidth="1"/>
    <col min="14" max="15" width="8.140625" style="4" customWidth="1"/>
    <col min="16" max="16" width="5.28515625" style="4" customWidth="1"/>
    <col min="17" max="19" width="8" style="4" customWidth="1"/>
    <col min="20" max="20" width="10.7109375" style="4" customWidth="1"/>
    <col min="21" max="21" width="9.28515625" style="4" customWidth="1"/>
    <col min="22" max="22" width="10.7109375" style="4" customWidth="1"/>
    <col min="23" max="23" width="2" style="4" customWidth="1"/>
    <col min="24" max="24" width="9.85546875" style="20" bestFit="1" customWidth="1"/>
    <col min="25" max="25" width="8.28515625" style="22" bestFit="1" customWidth="1"/>
    <col min="26" max="16384" width="9" style="4"/>
  </cols>
  <sheetData>
    <row r="2" spans="1:25" s="2" customFormat="1" ht="19.5" x14ac:dyDescent="0.25">
      <c r="B2" s="29" t="s">
        <v>45</v>
      </c>
      <c r="C2" s="29"/>
      <c r="D2" s="29"/>
      <c r="E2" s="29"/>
      <c r="F2" s="29"/>
      <c r="G2" s="29"/>
      <c r="H2" s="29"/>
      <c r="I2" s="29"/>
      <c r="J2" s="29"/>
      <c r="K2" s="29"/>
      <c r="M2" s="29" t="s">
        <v>56</v>
      </c>
      <c r="N2" s="29"/>
      <c r="O2" s="29"/>
      <c r="P2" s="29"/>
      <c r="Q2" s="29"/>
      <c r="R2" s="29"/>
      <c r="S2" s="29"/>
      <c r="T2" s="29"/>
      <c r="U2" s="29"/>
      <c r="V2" s="29"/>
      <c r="X2" s="21"/>
      <c r="Y2" s="23"/>
    </row>
    <row r="3" spans="1:25" s="2" customFormat="1" ht="27" x14ac:dyDescent="0.25">
      <c r="A3" s="37"/>
      <c r="B3" s="30" t="s">
        <v>0</v>
      </c>
      <c r="C3" s="30" t="s">
        <v>32</v>
      </c>
      <c r="D3" s="31" t="s">
        <v>33</v>
      </c>
      <c r="E3" s="30" t="s">
        <v>37</v>
      </c>
      <c r="F3" s="31" t="s">
        <v>36</v>
      </c>
      <c r="G3" s="33" t="s">
        <v>39</v>
      </c>
      <c r="H3" s="33" t="s">
        <v>41</v>
      </c>
      <c r="I3" s="35" t="s">
        <v>25</v>
      </c>
      <c r="J3" s="15" t="s">
        <v>2</v>
      </c>
      <c r="K3" s="31" t="s">
        <v>38</v>
      </c>
      <c r="M3" s="30" t="s">
        <v>0</v>
      </c>
      <c r="N3" s="30" t="s">
        <v>32</v>
      </c>
      <c r="O3" s="31" t="s">
        <v>33</v>
      </c>
      <c r="P3" s="30" t="s">
        <v>37</v>
      </c>
      <c r="Q3" s="31" t="s">
        <v>36</v>
      </c>
      <c r="R3" s="33" t="s">
        <v>39</v>
      </c>
      <c r="S3" s="33" t="s">
        <v>41</v>
      </c>
      <c r="T3" s="35" t="s">
        <v>25</v>
      </c>
      <c r="U3" s="15" t="s">
        <v>2</v>
      </c>
      <c r="V3" s="31" t="s">
        <v>38</v>
      </c>
      <c r="X3" s="21"/>
      <c r="Y3" s="23"/>
    </row>
    <row r="4" spans="1:25" s="8" customFormat="1" ht="27" x14ac:dyDescent="0.25">
      <c r="A4" s="37"/>
      <c r="B4" s="30"/>
      <c r="C4" s="30"/>
      <c r="D4" s="32"/>
      <c r="E4" s="30"/>
      <c r="F4" s="32"/>
      <c r="G4" s="34"/>
      <c r="H4" s="34"/>
      <c r="I4" s="36"/>
      <c r="J4" s="15" t="s">
        <v>27</v>
      </c>
      <c r="K4" s="32"/>
      <c r="M4" s="30"/>
      <c r="N4" s="30"/>
      <c r="O4" s="32"/>
      <c r="P4" s="30"/>
      <c r="Q4" s="32"/>
      <c r="R4" s="34"/>
      <c r="S4" s="34"/>
      <c r="T4" s="36"/>
      <c r="U4" s="15" t="s">
        <v>27</v>
      </c>
      <c r="V4" s="32"/>
      <c r="X4" s="18" t="s">
        <v>73</v>
      </c>
      <c r="Y4" s="18" t="s">
        <v>72</v>
      </c>
    </row>
    <row r="5" spans="1:25" x14ac:dyDescent="0.25">
      <c r="B5" s="3">
        <v>1</v>
      </c>
      <c r="C5" s="9" t="s">
        <v>35</v>
      </c>
      <c r="D5" s="9" t="s">
        <v>34</v>
      </c>
      <c r="E5" s="3">
        <v>84</v>
      </c>
      <c r="F5" s="3">
        <f>78822+13750+22188</f>
        <v>114760</v>
      </c>
      <c r="G5" s="14">
        <f>80434+13998+22291</f>
        <v>116723</v>
      </c>
      <c r="H5" s="14">
        <v>1963</v>
      </c>
      <c r="I5" s="11">
        <v>11228501</v>
      </c>
      <c r="J5" s="11">
        <v>1010565</v>
      </c>
      <c r="K5" s="14">
        <v>9487000</v>
      </c>
      <c r="M5" s="3">
        <v>1</v>
      </c>
      <c r="N5" s="9" t="s">
        <v>60</v>
      </c>
      <c r="O5" s="9" t="s">
        <v>61</v>
      </c>
      <c r="P5" s="3">
        <v>84</v>
      </c>
      <c r="Q5" s="3"/>
      <c r="R5" s="14"/>
      <c r="S5" s="14">
        <v>2566</v>
      </c>
      <c r="T5" s="11"/>
      <c r="U5" s="11"/>
      <c r="V5" s="14">
        <v>4837000</v>
      </c>
      <c r="X5" s="24">
        <f>V5-K5</f>
        <v>-4650000</v>
      </c>
      <c r="Y5" s="25">
        <f>V5/K5</f>
        <v>0.5098555918625487</v>
      </c>
    </row>
    <row r="6" spans="1:25" x14ac:dyDescent="0.25">
      <c r="B6" s="3">
        <v>2</v>
      </c>
      <c r="C6" s="9" t="s">
        <v>34</v>
      </c>
      <c r="D6" s="9" t="s">
        <v>40</v>
      </c>
      <c r="E6" s="3">
        <v>57</v>
      </c>
      <c r="F6" s="3">
        <f>80434+13998+22291</f>
        <v>116723</v>
      </c>
      <c r="G6" s="14">
        <f>81313+14049+22350</f>
        <v>117712</v>
      </c>
      <c r="H6" s="14">
        <v>989</v>
      </c>
      <c r="I6" s="11">
        <v>5903246</v>
      </c>
      <c r="J6" s="11">
        <v>531292</v>
      </c>
      <c r="K6" s="14">
        <v>7727000</v>
      </c>
      <c r="M6" s="3">
        <v>2</v>
      </c>
      <c r="N6" s="9" t="s">
        <v>61</v>
      </c>
      <c r="O6" s="9" t="s">
        <v>62</v>
      </c>
      <c r="P6" s="3">
        <v>64</v>
      </c>
      <c r="Q6" s="3"/>
      <c r="R6" s="14"/>
      <c r="S6" s="14">
        <v>1298</v>
      </c>
      <c r="T6" s="11"/>
      <c r="U6" s="11"/>
      <c r="V6" s="14">
        <v>6769000</v>
      </c>
      <c r="X6" s="24">
        <f>V6-K6</f>
        <v>-958000</v>
      </c>
      <c r="Y6" s="25">
        <f t="shared" ref="Y6:Y8" si="0">V6/K6</f>
        <v>0.87601915361718652</v>
      </c>
    </row>
    <row r="7" spans="1:25" x14ac:dyDescent="0.25">
      <c r="B7" s="3">
        <v>3</v>
      </c>
      <c r="C7" s="9" t="s">
        <v>40</v>
      </c>
      <c r="D7" s="9" t="s">
        <v>42</v>
      </c>
      <c r="E7" s="3">
        <v>53</v>
      </c>
      <c r="F7" s="14">
        <f>81313+14049+22350</f>
        <v>117712</v>
      </c>
      <c r="G7" s="3">
        <f>83269+14131+22403</f>
        <v>119803</v>
      </c>
      <c r="H7" s="14">
        <v>2091</v>
      </c>
      <c r="I7" s="11"/>
      <c r="J7" s="11"/>
      <c r="K7" s="14">
        <v>20969000</v>
      </c>
      <c r="M7" s="3">
        <v>3</v>
      </c>
      <c r="N7" s="9" t="s">
        <v>62</v>
      </c>
      <c r="O7" s="9" t="s">
        <v>63</v>
      </c>
      <c r="P7" s="3">
        <v>56</v>
      </c>
      <c r="Q7" s="14"/>
      <c r="R7" s="3">
        <f>74540+13335+21958</f>
        <v>109833</v>
      </c>
      <c r="S7" s="14">
        <v>3497</v>
      </c>
      <c r="T7" s="11"/>
      <c r="U7" s="11"/>
      <c r="V7" s="14">
        <v>26621000</v>
      </c>
      <c r="X7" s="24">
        <f>V7-K7</f>
        <v>5652000</v>
      </c>
      <c r="Y7" s="25">
        <f t="shared" si="0"/>
        <v>1.2695407506318852</v>
      </c>
    </row>
    <row r="8" spans="1:25" x14ac:dyDescent="0.25">
      <c r="B8" s="3">
        <v>4</v>
      </c>
      <c r="C8" s="9" t="s">
        <v>42</v>
      </c>
      <c r="D8" s="9" t="s">
        <v>43</v>
      </c>
      <c r="E8" s="3">
        <v>62</v>
      </c>
      <c r="F8" s="3">
        <f>83269+14131+22403</f>
        <v>119803</v>
      </c>
      <c r="G8" s="14">
        <f>85251+14223+22457</f>
        <v>121931</v>
      </c>
      <c r="H8" s="14">
        <v>2128</v>
      </c>
      <c r="I8" s="11">
        <v>18727571</v>
      </c>
      <c r="J8" s="11">
        <v>1685481</v>
      </c>
      <c r="K8" s="82">
        <v>22324000</v>
      </c>
      <c r="M8" s="3">
        <v>4</v>
      </c>
      <c r="N8" s="9" t="s">
        <v>63</v>
      </c>
      <c r="O8" s="9" t="s">
        <v>64</v>
      </c>
      <c r="P8" s="3">
        <v>49</v>
      </c>
      <c r="Q8" s="3">
        <f>74540+13335+21958</f>
        <v>109833</v>
      </c>
      <c r="R8" s="14">
        <f>76804+13423+22104</f>
        <v>112331</v>
      </c>
      <c r="S8" s="14">
        <v>2498</v>
      </c>
      <c r="T8" s="11">
        <v>16282177</v>
      </c>
      <c r="U8" s="11">
        <v>1465396</v>
      </c>
      <c r="V8" s="14">
        <v>19390000</v>
      </c>
      <c r="X8" s="24">
        <f>V8-K8</f>
        <v>-2934000</v>
      </c>
      <c r="Y8" s="25">
        <f t="shared" si="0"/>
        <v>0.86857194051245301</v>
      </c>
    </row>
    <row r="9" spans="1:25" x14ac:dyDescent="0.25">
      <c r="B9" s="69"/>
      <c r="C9" s="73"/>
      <c r="D9" s="73"/>
      <c r="E9" s="69"/>
      <c r="F9" s="69"/>
      <c r="G9" s="70"/>
      <c r="H9" s="70"/>
      <c r="I9" s="71"/>
      <c r="J9" s="71"/>
      <c r="K9" s="85" t="s">
        <v>77</v>
      </c>
      <c r="M9" s="76">
        <v>5</v>
      </c>
      <c r="N9" s="9" t="s">
        <v>64</v>
      </c>
      <c r="O9" s="9" t="s">
        <v>74</v>
      </c>
      <c r="P9" s="3">
        <v>54</v>
      </c>
      <c r="Q9" s="14">
        <f>76804+13423+22104</f>
        <v>112331</v>
      </c>
      <c r="R9" s="14">
        <f>77826+13561+22142</f>
        <v>113529</v>
      </c>
      <c r="S9" s="14">
        <v>1198</v>
      </c>
      <c r="T9" s="11">
        <v>5565555</v>
      </c>
      <c r="U9" s="11">
        <v>500900</v>
      </c>
      <c r="V9" s="74">
        <v>6639000</v>
      </c>
      <c r="X9" s="72"/>
      <c r="Y9" s="28"/>
    </row>
    <row r="10" spans="1:25" x14ac:dyDescent="0.25">
      <c r="C10" s="26"/>
      <c r="D10" s="26"/>
      <c r="I10" s="27"/>
      <c r="J10" s="27"/>
      <c r="K10" s="13"/>
      <c r="N10" s="26"/>
      <c r="O10" s="26"/>
      <c r="R10" s="13"/>
      <c r="S10" s="13"/>
      <c r="T10" s="27"/>
      <c r="U10" s="27"/>
      <c r="V10" s="13"/>
      <c r="Y10" s="28"/>
    </row>
    <row r="12" spans="1:25" ht="19.5" x14ac:dyDescent="0.25">
      <c r="B12" s="29" t="s">
        <v>46</v>
      </c>
      <c r="C12" s="29"/>
      <c r="D12" s="29"/>
      <c r="E12" s="29"/>
      <c r="F12" s="29"/>
      <c r="G12" s="29"/>
      <c r="H12" s="29"/>
      <c r="I12" s="29"/>
      <c r="J12" s="29"/>
      <c r="K12" s="29"/>
      <c r="M12" s="29" t="s">
        <v>58</v>
      </c>
      <c r="N12" s="29"/>
      <c r="O12" s="29"/>
      <c r="P12" s="29"/>
      <c r="Q12" s="29"/>
      <c r="R12" s="29"/>
      <c r="S12" s="29"/>
      <c r="T12" s="29"/>
      <c r="U12" s="29"/>
      <c r="V12" s="29"/>
    </row>
    <row r="13" spans="1:25" ht="27" x14ac:dyDescent="0.25">
      <c r="B13" s="30" t="s">
        <v>0</v>
      </c>
      <c r="C13" s="30" t="s">
        <v>32</v>
      </c>
      <c r="D13" s="31" t="s">
        <v>33</v>
      </c>
      <c r="E13" s="30" t="s">
        <v>37</v>
      </c>
      <c r="F13" s="31" t="s">
        <v>36</v>
      </c>
      <c r="G13" s="33" t="s">
        <v>39</v>
      </c>
      <c r="H13" s="33" t="s">
        <v>41</v>
      </c>
      <c r="I13" s="35" t="s">
        <v>25</v>
      </c>
      <c r="J13" s="15" t="s">
        <v>2</v>
      </c>
      <c r="K13" s="31" t="s">
        <v>38</v>
      </c>
      <c r="M13" s="30" t="s">
        <v>0</v>
      </c>
      <c r="N13" s="30" t="s">
        <v>32</v>
      </c>
      <c r="O13" s="31" t="s">
        <v>33</v>
      </c>
      <c r="P13" s="30" t="s">
        <v>37</v>
      </c>
      <c r="Q13" s="31" t="s">
        <v>36</v>
      </c>
      <c r="R13" s="33" t="s">
        <v>39</v>
      </c>
      <c r="S13" s="33" t="s">
        <v>41</v>
      </c>
      <c r="T13" s="35" t="s">
        <v>25</v>
      </c>
      <c r="U13" s="15" t="s">
        <v>2</v>
      </c>
      <c r="V13" s="31" t="s">
        <v>38</v>
      </c>
    </row>
    <row r="14" spans="1:25" ht="27" x14ac:dyDescent="0.25">
      <c r="B14" s="30"/>
      <c r="C14" s="30"/>
      <c r="D14" s="32"/>
      <c r="E14" s="30"/>
      <c r="F14" s="32"/>
      <c r="G14" s="34"/>
      <c r="H14" s="34"/>
      <c r="I14" s="36"/>
      <c r="J14" s="15" t="s">
        <v>27</v>
      </c>
      <c r="K14" s="32"/>
      <c r="M14" s="30"/>
      <c r="N14" s="30"/>
      <c r="O14" s="32"/>
      <c r="P14" s="30"/>
      <c r="Q14" s="32"/>
      <c r="R14" s="34"/>
      <c r="S14" s="34"/>
      <c r="T14" s="36"/>
      <c r="U14" s="15" t="s">
        <v>27</v>
      </c>
      <c r="V14" s="32"/>
      <c r="X14" s="18" t="s">
        <v>73</v>
      </c>
      <c r="Y14" s="18" t="s">
        <v>72</v>
      </c>
    </row>
    <row r="15" spans="1:25" x14ac:dyDescent="0.25">
      <c r="B15" s="3">
        <v>1</v>
      </c>
      <c r="C15" s="9" t="s">
        <v>35</v>
      </c>
      <c r="D15" s="9" t="s">
        <v>34</v>
      </c>
      <c r="E15" s="3">
        <v>84</v>
      </c>
      <c r="F15" s="14">
        <f>58433+21246+27525</f>
        <v>107204</v>
      </c>
      <c r="G15" s="14">
        <f>61202+21333+27542</f>
        <v>110077</v>
      </c>
      <c r="H15" s="14">
        <v>2873</v>
      </c>
      <c r="I15" s="11">
        <v>17928170</v>
      </c>
      <c r="J15" s="11">
        <v>1613535</v>
      </c>
      <c r="K15" s="11">
        <v>15487000</v>
      </c>
      <c r="M15" s="3">
        <v>1</v>
      </c>
      <c r="N15" s="9" t="s">
        <v>60</v>
      </c>
      <c r="O15" s="9" t="s">
        <v>61</v>
      </c>
      <c r="P15" s="3">
        <v>84</v>
      </c>
      <c r="Q15" s="14"/>
      <c r="R15" s="14"/>
      <c r="S15" s="14">
        <v>2237</v>
      </c>
      <c r="T15" s="11"/>
      <c r="U15" s="11"/>
      <c r="V15" s="11">
        <v>3617000</v>
      </c>
      <c r="X15" s="24">
        <f>V15-K15</f>
        <v>-11870000</v>
      </c>
      <c r="Y15" s="25">
        <f t="shared" ref="Y15:Y18" si="1">V15/K15</f>
        <v>0.23355071995867502</v>
      </c>
    </row>
    <row r="16" spans="1:25" x14ac:dyDescent="0.25">
      <c r="B16" s="3">
        <v>2</v>
      </c>
      <c r="C16" s="9" t="s">
        <v>34</v>
      </c>
      <c r="D16" s="9" t="s">
        <v>40</v>
      </c>
      <c r="E16" s="3">
        <v>57</v>
      </c>
      <c r="F16" s="14">
        <f>61202+21333+27542</f>
        <v>110077</v>
      </c>
      <c r="G16" s="14">
        <f>63466+21358+27637</f>
        <v>112461</v>
      </c>
      <c r="H16" s="14">
        <v>2384</v>
      </c>
      <c r="I16" s="11">
        <v>18024351</v>
      </c>
      <c r="J16" s="11">
        <v>1622192</v>
      </c>
      <c r="K16" s="11">
        <v>22415000</v>
      </c>
      <c r="M16" s="3">
        <v>2</v>
      </c>
      <c r="N16" s="9" t="s">
        <v>61</v>
      </c>
      <c r="O16" s="9" t="s">
        <v>62</v>
      </c>
      <c r="P16" s="3">
        <v>64</v>
      </c>
      <c r="Q16" s="14"/>
      <c r="R16" s="14"/>
      <c r="S16" s="14">
        <v>2307</v>
      </c>
      <c r="T16" s="11"/>
      <c r="U16" s="11"/>
      <c r="V16" s="11">
        <v>14034000</v>
      </c>
      <c r="X16" s="24">
        <f>V16-K16</f>
        <v>-8381000</v>
      </c>
      <c r="Y16" s="25">
        <f t="shared" si="1"/>
        <v>0.62609859469105511</v>
      </c>
    </row>
    <row r="17" spans="2:25" x14ac:dyDescent="0.25">
      <c r="B17" s="3">
        <v>3</v>
      </c>
      <c r="C17" s="9" t="s">
        <v>40</v>
      </c>
      <c r="D17" s="3" t="s">
        <v>42</v>
      </c>
      <c r="E17" s="3">
        <v>53</v>
      </c>
      <c r="F17" s="14">
        <f>63466+21358+27637</f>
        <v>112461</v>
      </c>
      <c r="G17" s="14">
        <f>67291+21393+27991</f>
        <v>116675</v>
      </c>
      <c r="H17" s="14">
        <v>4214</v>
      </c>
      <c r="I17" s="3"/>
      <c r="J17" s="3"/>
      <c r="K17" s="11">
        <v>45599000</v>
      </c>
      <c r="M17" s="3">
        <v>3</v>
      </c>
      <c r="N17" s="9" t="s">
        <v>62</v>
      </c>
      <c r="O17" s="3" t="s">
        <v>63</v>
      </c>
      <c r="P17" s="3">
        <v>56</v>
      </c>
      <c r="Q17" s="14"/>
      <c r="R17" s="14">
        <f>51889+21017+27183</f>
        <v>100089</v>
      </c>
      <c r="S17" s="14">
        <v>4398</v>
      </c>
      <c r="T17" s="3"/>
      <c r="U17" s="3"/>
      <c r="V17" s="11">
        <v>34110000</v>
      </c>
      <c r="X17" s="24">
        <f>V17-K17</f>
        <v>-11489000</v>
      </c>
      <c r="Y17" s="25">
        <f t="shared" si="1"/>
        <v>0.74804272023509288</v>
      </c>
    </row>
    <row r="18" spans="2:25" x14ac:dyDescent="0.25">
      <c r="B18" s="3">
        <v>4</v>
      </c>
      <c r="C18" s="3" t="s">
        <v>42</v>
      </c>
      <c r="D18" s="3" t="s">
        <v>43</v>
      </c>
      <c r="E18" s="3">
        <v>62</v>
      </c>
      <c r="F18" s="14">
        <f>67291+21393+27991</f>
        <v>116675</v>
      </c>
      <c r="G18" s="14">
        <f>71396+21435+28451</f>
        <v>121282</v>
      </c>
      <c r="H18" s="14">
        <v>4607</v>
      </c>
      <c r="I18" s="11">
        <v>44656836</v>
      </c>
      <c r="J18" s="11">
        <v>4019115</v>
      </c>
      <c r="K18" s="83">
        <v>53180000</v>
      </c>
      <c r="M18" s="3">
        <v>4</v>
      </c>
      <c r="N18" s="3" t="s">
        <v>63</v>
      </c>
      <c r="O18" s="3" t="s">
        <v>65</v>
      </c>
      <c r="P18" s="3">
        <v>49</v>
      </c>
      <c r="Q18" s="14">
        <f>51889+21017+27183</f>
        <v>100089</v>
      </c>
      <c r="R18" s="74">
        <f>54954+21087+27500</f>
        <v>103541</v>
      </c>
      <c r="S18" s="14">
        <v>3452</v>
      </c>
      <c r="T18" s="11">
        <v>23159994</v>
      </c>
      <c r="U18" s="11">
        <v>2084400</v>
      </c>
      <c r="V18" s="11">
        <v>27575000</v>
      </c>
      <c r="X18" s="24">
        <f>V18-K18</f>
        <v>-25605000</v>
      </c>
      <c r="Y18" s="25">
        <f t="shared" si="1"/>
        <v>0.51852200075216248</v>
      </c>
    </row>
    <row r="19" spans="2:25" x14ac:dyDescent="0.25">
      <c r="B19" s="69"/>
      <c r="C19" s="69"/>
      <c r="D19" s="69"/>
      <c r="E19" s="69"/>
      <c r="F19" s="70"/>
      <c r="G19" s="70"/>
      <c r="H19" s="70"/>
      <c r="I19" s="71"/>
      <c r="J19" s="71"/>
      <c r="K19" s="84" t="s">
        <v>76</v>
      </c>
      <c r="M19" s="76">
        <v>5</v>
      </c>
      <c r="N19" s="3" t="s">
        <v>64</v>
      </c>
      <c r="O19" s="3" t="s">
        <v>74</v>
      </c>
      <c r="P19" s="3">
        <v>54</v>
      </c>
      <c r="Q19" s="14">
        <f>54954+21087+27500</f>
        <v>103541</v>
      </c>
      <c r="R19" s="14">
        <f>57002+21200+27516</f>
        <v>105718</v>
      </c>
      <c r="S19" s="14">
        <v>2177</v>
      </c>
      <c r="T19" s="11">
        <v>11612530</v>
      </c>
      <c r="U19" s="11">
        <v>1045128</v>
      </c>
      <c r="V19" s="81">
        <v>13834000</v>
      </c>
      <c r="X19" s="72"/>
      <c r="Y19" s="28"/>
    </row>
    <row r="20" spans="2:25" x14ac:dyDescent="0.25">
      <c r="F20" s="13"/>
      <c r="I20" s="27"/>
      <c r="J20" s="27"/>
      <c r="K20" s="27"/>
      <c r="Q20" s="13"/>
      <c r="R20" s="13"/>
      <c r="S20" s="13"/>
      <c r="T20" s="27"/>
      <c r="U20" s="27"/>
      <c r="V20" s="27"/>
      <c r="Y20" s="28"/>
    </row>
    <row r="22" spans="2:25" ht="19.5" x14ac:dyDescent="0.25">
      <c r="B22" s="29" t="s">
        <v>47</v>
      </c>
      <c r="C22" s="29"/>
      <c r="D22" s="29"/>
      <c r="E22" s="29"/>
      <c r="F22" s="29"/>
      <c r="G22" s="29"/>
      <c r="H22" s="29"/>
      <c r="I22" s="29"/>
      <c r="J22" s="29"/>
      <c r="K22" s="29"/>
      <c r="M22" s="29" t="s">
        <v>59</v>
      </c>
      <c r="N22" s="29"/>
      <c r="O22" s="29"/>
      <c r="P22" s="29"/>
      <c r="Q22" s="29"/>
      <c r="R22" s="29"/>
      <c r="S22" s="29"/>
      <c r="T22" s="29"/>
      <c r="U22" s="29"/>
      <c r="V22" s="29"/>
    </row>
    <row r="23" spans="2:25" ht="27" x14ac:dyDescent="0.25">
      <c r="B23" s="30" t="s">
        <v>0</v>
      </c>
      <c r="C23" s="30" t="s">
        <v>32</v>
      </c>
      <c r="D23" s="31" t="s">
        <v>33</v>
      </c>
      <c r="E23" s="30" t="s">
        <v>37</v>
      </c>
      <c r="F23" s="31" t="s">
        <v>36</v>
      </c>
      <c r="G23" s="33" t="s">
        <v>39</v>
      </c>
      <c r="H23" s="33" t="s">
        <v>41</v>
      </c>
      <c r="I23" s="35" t="s">
        <v>25</v>
      </c>
      <c r="J23" s="15" t="s">
        <v>2</v>
      </c>
      <c r="K23" s="31" t="s">
        <v>38</v>
      </c>
      <c r="M23" s="30" t="s">
        <v>0</v>
      </c>
      <c r="N23" s="30" t="s">
        <v>32</v>
      </c>
      <c r="O23" s="31" t="s">
        <v>33</v>
      </c>
      <c r="P23" s="30" t="s">
        <v>37</v>
      </c>
      <c r="Q23" s="31" t="s">
        <v>36</v>
      </c>
      <c r="R23" s="33" t="s">
        <v>39</v>
      </c>
      <c r="S23" s="33" t="s">
        <v>41</v>
      </c>
      <c r="T23" s="35" t="s">
        <v>25</v>
      </c>
      <c r="U23" s="15" t="s">
        <v>2</v>
      </c>
      <c r="V23" s="31" t="s">
        <v>38</v>
      </c>
    </row>
    <row r="24" spans="2:25" ht="27" x14ac:dyDescent="0.25">
      <c r="B24" s="30"/>
      <c r="C24" s="30"/>
      <c r="D24" s="32"/>
      <c r="E24" s="30"/>
      <c r="F24" s="32"/>
      <c r="G24" s="34"/>
      <c r="H24" s="34"/>
      <c r="I24" s="36"/>
      <c r="J24" s="15" t="s">
        <v>27</v>
      </c>
      <c r="K24" s="32"/>
      <c r="M24" s="30"/>
      <c r="N24" s="30"/>
      <c r="O24" s="32"/>
      <c r="P24" s="30"/>
      <c r="Q24" s="32"/>
      <c r="R24" s="34"/>
      <c r="S24" s="34"/>
      <c r="T24" s="36"/>
      <c r="U24" s="15" t="s">
        <v>27</v>
      </c>
      <c r="V24" s="32"/>
      <c r="X24" s="18" t="s">
        <v>73</v>
      </c>
      <c r="Y24" s="18" t="s">
        <v>72</v>
      </c>
    </row>
    <row r="25" spans="2:25" x14ac:dyDescent="0.25">
      <c r="B25" s="3">
        <v>1</v>
      </c>
      <c r="C25" s="9" t="s">
        <v>48</v>
      </c>
      <c r="D25" s="9" t="s">
        <v>34</v>
      </c>
      <c r="E25" s="3">
        <v>86</v>
      </c>
      <c r="F25" s="14">
        <f>26074+1925+221</f>
        <v>28220</v>
      </c>
      <c r="G25" s="14">
        <f>27945+1968+280</f>
        <v>30193</v>
      </c>
      <c r="H25" s="14">
        <v>1973</v>
      </c>
      <c r="I25" s="11">
        <v>11206010</v>
      </c>
      <c r="J25" s="11">
        <v>1008541</v>
      </c>
      <c r="K25" s="11">
        <v>6814000</v>
      </c>
      <c r="M25" s="3">
        <v>1</v>
      </c>
      <c r="N25" s="9" t="s">
        <v>66</v>
      </c>
      <c r="O25" s="9" t="s">
        <v>61</v>
      </c>
      <c r="P25" s="3">
        <v>84</v>
      </c>
      <c r="Q25" s="14"/>
      <c r="R25" s="14"/>
      <c r="S25" s="14">
        <v>2124</v>
      </c>
      <c r="T25" s="11"/>
      <c r="U25" s="11"/>
      <c r="V25" s="11">
        <v>4191000</v>
      </c>
      <c r="X25" s="24">
        <f>V25-K25</f>
        <v>-2623000</v>
      </c>
      <c r="Y25" s="25">
        <f t="shared" ref="Y25:Y28" si="2">V25/K25</f>
        <v>0.61505723510419719</v>
      </c>
    </row>
    <row r="26" spans="2:25" x14ac:dyDescent="0.25">
      <c r="B26" s="3">
        <v>2</v>
      </c>
      <c r="C26" s="9" t="s">
        <v>34</v>
      </c>
      <c r="D26" s="9" t="s">
        <v>40</v>
      </c>
      <c r="E26" s="3">
        <v>57</v>
      </c>
      <c r="F26" s="14">
        <f>27945+1968+280</f>
        <v>30193</v>
      </c>
      <c r="G26" s="14">
        <f>29556+2227+295</f>
        <v>32078</v>
      </c>
      <c r="H26" s="14">
        <v>1885</v>
      </c>
      <c r="I26" s="11">
        <v>14158568</v>
      </c>
      <c r="J26" s="11">
        <v>1274271</v>
      </c>
      <c r="K26" s="11">
        <v>17788000</v>
      </c>
      <c r="M26" s="3">
        <v>2</v>
      </c>
      <c r="N26" s="9" t="s">
        <v>61</v>
      </c>
      <c r="O26" s="9" t="s">
        <v>62</v>
      </c>
      <c r="P26" s="3">
        <v>64</v>
      </c>
      <c r="Q26" s="14"/>
      <c r="R26" s="14"/>
      <c r="S26" s="14">
        <v>2509</v>
      </c>
      <c r="T26" s="11"/>
      <c r="U26" s="11"/>
      <c r="V26" s="11">
        <v>16140000</v>
      </c>
      <c r="X26" s="24">
        <f>V26-K26</f>
        <v>-1648000</v>
      </c>
      <c r="Y26" s="25">
        <f t="shared" si="2"/>
        <v>0.90735327186867554</v>
      </c>
    </row>
    <row r="27" spans="2:25" x14ac:dyDescent="0.25">
      <c r="B27" s="3">
        <v>3</v>
      </c>
      <c r="C27" s="9" t="s">
        <v>40</v>
      </c>
      <c r="D27" s="3" t="s">
        <v>49</v>
      </c>
      <c r="E27" s="3">
        <v>50</v>
      </c>
      <c r="F27" s="14">
        <f>29556+2227+295</f>
        <v>32078</v>
      </c>
      <c r="G27" s="14">
        <f>30955+4054+314</f>
        <v>35323</v>
      </c>
      <c r="H27" s="14">
        <v>1947</v>
      </c>
      <c r="I27" s="3"/>
      <c r="J27" s="3"/>
      <c r="K27" s="11">
        <v>37860000</v>
      </c>
      <c r="M27" s="3">
        <v>3</v>
      </c>
      <c r="N27" s="9" t="s">
        <v>62</v>
      </c>
      <c r="O27" s="3" t="s">
        <v>63</v>
      </c>
      <c r="P27" s="3">
        <v>56</v>
      </c>
      <c r="Q27" s="14"/>
      <c r="R27" s="14">
        <f>19485+1640+98</f>
        <v>21223</v>
      </c>
      <c r="S27" s="14">
        <v>4623</v>
      </c>
      <c r="T27" s="3"/>
      <c r="U27" s="3"/>
      <c r="V27" s="11">
        <v>36948000</v>
      </c>
      <c r="X27" s="24">
        <f>V27-K27</f>
        <v>-912000</v>
      </c>
      <c r="Y27" s="25">
        <f t="shared" si="2"/>
        <v>0.97591125198098261</v>
      </c>
    </row>
    <row r="28" spans="2:25" x14ac:dyDescent="0.25">
      <c r="B28" s="3">
        <v>4</v>
      </c>
      <c r="C28" s="3" t="s">
        <v>49</v>
      </c>
      <c r="D28" s="3" t="s">
        <v>43</v>
      </c>
      <c r="E28" s="3">
        <v>65</v>
      </c>
      <c r="F28" s="14">
        <f>30955+4054+314</f>
        <v>35323</v>
      </c>
      <c r="G28" s="14">
        <f>33080+6534+388</f>
        <v>40002</v>
      </c>
      <c r="H28" s="14">
        <v>4679</v>
      </c>
      <c r="I28" s="11">
        <v>49627070</v>
      </c>
      <c r="J28" s="11">
        <v>4466436</v>
      </c>
      <c r="K28" s="83">
        <v>59075000</v>
      </c>
      <c r="M28" s="3">
        <v>4</v>
      </c>
      <c r="N28" s="3" t="s">
        <v>63</v>
      </c>
      <c r="O28" s="3" t="s">
        <v>68</v>
      </c>
      <c r="P28" s="3">
        <v>46</v>
      </c>
      <c r="Q28" s="14">
        <f>19485+1640+98</f>
        <v>21223</v>
      </c>
      <c r="R28" s="14">
        <f>22470+1776+126</f>
        <v>24372</v>
      </c>
      <c r="S28" s="14">
        <v>3149</v>
      </c>
      <c r="T28" s="11">
        <v>21561280</v>
      </c>
      <c r="U28" s="11">
        <v>1940515</v>
      </c>
      <c r="V28" s="11">
        <v>25657000</v>
      </c>
      <c r="X28" s="24">
        <f>V28-K28</f>
        <v>-33418000</v>
      </c>
      <c r="Y28" s="25">
        <f t="shared" si="2"/>
        <v>0.43431231485399913</v>
      </c>
    </row>
    <row r="29" spans="2:25" x14ac:dyDescent="0.25">
      <c r="B29" s="69"/>
      <c r="C29" s="69"/>
      <c r="D29" s="69"/>
      <c r="E29" s="69"/>
      <c r="F29" s="70"/>
      <c r="G29" s="70"/>
      <c r="H29" s="70"/>
      <c r="I29" s="71"/>
      <c r="J29" s="71"/>
      <c r="K29" s="84" t="s">
        <v>77</v>
      </c>
      <c r="M29" s="3">
        <v>5</v>
      </c>
      <c r="N29" s="3" t="s">
        <v>68</v>
      </c>
      <c r="O29" s="3" t="s">
        <v>75</v>
      </c>
      <c r="P29" s="3">
        <v>54</v>
      </c>
      <c r="Q29" s="14">
        <f>22470+1776+126</f>
        <v>24372</v>
      </c>
      <c r="R29" s="14">
        <f>24661+1863+179</f>
        <v>26703</v>
      </c>
      <c r="S29" s="14">
        <v>2331</v>
      </c>
      <c r="T29" s="11">
        <v>12818501</v>
      </c>
      <c r="U29" s="11">
        <v>1153665</v>
      </c>
      <c r="V29" s="81">
        <v>15253000</v>
      </c>
      <c r="X29" s="72"/>
      <c r="Y29" s="28"/>
    </row>
    <row r="30" spans="2:25" x14ac:dyDescent="0.25">
      <c r="F30" s="13"/>
      <c r="I30" s="27"/>
      <c r="J30" s="27"/>
      <c r="K30" s="27"/>
      <c r="Q30" s="13"/>
      <c r="R30" s="13"/>
      <c r="S30" s="13"/>
      <c r="T30" s="27"/>
      <c r="U30" s="27"/>
      <c r="V30" s="27"/>
      <c r="Y30" s="28"/>
    </row>
    <row r="32" spans="2:25" ht="19.5" x14ac:dyDescent="0.25">
      <c r="B32" s="29" t="s">
        <v>50</v>
      </c>
      <c r="C32" s="29"/>
      <c r="D32" s="29"/>
      <c r="E32" s="29"/>
      <c r="F32" s="29"/>
      <c r="G32" s="29"/>
      <c r="H32" s="29"/>
      <c r="I32" s="29"/>
      <c r="J32" s="29"/>
      <c r="K32" s="29"/>
      <c r="M32" s="29" t="s">
        <v>57</v>
      </c>
      <c r="N32" s="29"/>
      <c r="O32" s="29"/>
      <c r="P32" s="29"/>
      <c r="Q32" s="29"/>
      <c r="R32" s="29"/>
      <c r="S32" s="29"/>
      <c r="T32" s="29"/>
      <c r="U32" s="29"/>
      <c r="V32" s="29"/>
    </row>
    <row r="33" spans="2:25" ht="27" x14ac:dyDescent="0.25">
      <c r="B33" s="30" t="s">
        <v>0</v>
      </c>
      <c r="C33" s="30" t="s">
        <v>32</v>
      </c>
      <c r="D33" s="31" t="s">
        <v>33</v>
      </c>
      <c r="E33" s="30" t="s">
        <v>37</v>
      </c>
      <c r="F33" s="31" t="s">
        <v>36</v>
      </c>
      <c r="G33" s="33" t="s">
        <v>39</v>
      </c>
      <c r="H33" s="33" t="s">
        <v>41</v>
      </c>
      <c r="I33" s="35" t="s">
        <v>25</v>
      </c>
      <c r="J33" s="15" t="s">
        <v>2</v>
      </c>
      <c r="K33" s="31" t="s">
        <v>38</v>
      </c>
      <c r="M33" s="30" t="s">
        <v>0</v>
      </c>
      <c r="N33" s="30" t="s">
        <v>32</v>
      </c>
      <c r="O33" s="31" t="s">
        <v>33</v>
      </c>
      <c r="P33" s="30" t="s">
        <v>37</v>
      </c>
      <c r="Q33" s="31" t="s">
        <v>36</v>
      </c>
      <c r="R33" s="33" t="s">
        <v>39</v>
      </c>
      <c r="S33" s="33" t="s">
        <v>41</v>
      </c>
      <c r="T33" s="35" t="s">
        <v>25</v>
      </c>
      <c r="U33" s="15" t="s">
        <v>2</v>
      </c>
      <c r="V33" s="31" t="s">
        <v>38</v>
      </c>
    </row>
    <row r="34" spans="2:25" ht="31.5" x14ac:dyDescent="0.25">
      <c r="B34" s="30"/>
      <c r="C34" s="30"/>
      <c r="D34" s="32"/>
      <c r="E34" s="30"/>
      <c r="F34" s="32"/>
      <c r="G34" s="34"/>
      <c r="H34" s="34"/>
      <c r="I34" s="36"/>
      <c r="J34" s="19" t="s">
        <v>27</v>
      </c>
      <c r="K34" s="32"/>
      <c r="M34" s="30"/>
      <c r="N34" s="30"/>
      <c r="O34" s="32"/>
      <c r="P34" s="30"/>
      <c r="Q34" s="32"/>
      <c r="R34" s="34"/>
      <c r="S34" s="34"/>
      <c r="T34" s="36"/>
      <c r="U34" s="19" t="s">
        <v>27</v>
      </c>
      <c r="V34" s="32"/>
      <c r="X34" s="15" t="s">
        <v>73</v>
      </c>
      <c r="Y34" s="15" t="s">
        <v>72</v>
      </c>
    </row>
    <row r="35" spans="2:25" x14ac:dyDescent="0.25">
      <c r="B35" s="3">
        <v>1</v>
      </c>
      <c r="C35" s="9" t="s">
        <v>35</v>
      </c>
      <c r="D35" s="9" t="s">
        <v>34</v>
      </c>
      <c r="E35" s="3">
        <v>84</v>
      </c>
      <c r="F35" s="14">
        <f>91055+21609+18989</f>
        <v>131653</v>
      </c>
      <c r="G35" s="14">
        <f>92179+21743+18994</f>
        <v>132916</v>
      </c>
      <c r="H35" s="14">
        <v>1263</v>
      </c>
      <c r="I35" s="11">
        <v>6392379</v>
      </c>
      <c r="J35" s="11">
        <v>575314</v>
      </c>
      <c r="K35" s="11">
        <v>4034000</v>
      </c>
      <c r="M35" s="3">
        <v>1</v>
      </c>
      <c r="N35" s="9" t="s">
        <v>60</v>
      </c>
      <c r="O35" s="9" t="s">
        <v>61</v>
      </c>
      <c r="P35" s="3">
        <v>84</v>
      </c>
      <c r="Q35" s="3" t="s">
        <v>44</v>
      </c>
      <c r="R35" s="14" t="s">
        <v>44</v>
      </c>
      <c r="S35" s="14">
        <v>1048</v>
      </c>
      <c r="T35" s="11"/>
      <c r="U35" s="11"/>
      <c r="V35" s="14">
        <v>361000</v>
      </c>
      <c r="X35" s="24">
        <f>V35-K35</f>
        <v>-3673000</v>
      </c>
      <c r="Y35" s="25"/>
    </row>
    <row r="36" spans="2:25" x14ac:dyDescent="0.25">
      <c r="B36" s="3">
        <v>2</v>
      </c>
      <c r="C36" s="9" t="s">
        <v>34</v>
      </c>
      <c r="D36" s="9" t="s">
        <v>40</v>
      </c>
      <c r="E36" s="3">
        <v>57</v>
      </c>
      <c r="F36" s="14">
        <f>92179+21743+18994</f>
        <v>132916</v>
      </c>
      <c r="G36" s="14">
        <f>93607+21898+19000</f>
        <v>134505</v>
      </c>
      <c r="H36" s="14">
        <v>1589</v>
      </c>
      <c r="I36" s="11">
        <v>11217196</v>
      </c>
      <c r="J36" s="11">
        <v>1009548</v>
      </c>
      <c r="K36" s="11">
        <v>14058000</v>
      </c>
      <c r="M36" s="3">
        <v>2</v>
      </c>
      <c r="N36" s="9" t="s">
        <v>61</v>
      </c>
      <c r="O36" s="9" t="s">
        <v>62</v>
      </c>
      <c r="P36" s="3">
        <v>64</v>
      </c>
      <c r="Q36" s="3" t="s">
        <v>44</v>
      </c>
      <c r="R36" s="14" t="s">
        <v>44</v>
      </c>
      <c r="S36" s="14">
        <v>1525</v>
      </c>
      <c r="T36" s="11"/>
      <c r="U36" s="11"/>
      <c r="V36" s="14">
        <v>8620000</v>
      </c>
      <c r="X36" s="24">
        <f>V36-K36</f>
        <v>-5438000</v>
      </c>
      <c r="Y36" s="25"/>
    </row>
    <row r="37" spans="2:25" x14ac:dyDescent="0.25">
      <c r="B37" s="3">
        <v>3</v>
      </c>
      <c r="C37" s="9" t="s">
        <v>40</v>
      </c>
      <c r="D37" s="3" t="s">
        <v>42</v>
      </c>
      <c r="E37" s="3">
        <v>53</v>
      </c>
      <c r="F37" s="14">
        <f>93607+21898+19000</f>
        <v>134505</v>
      </c>
      <c r="G37" s="3">
        <f>96391+22151+19005</f>
        <v>137547</v>
      </c>
      <c r="H37" s="14">
        <v>3042</v>
      </c>
      <c r="I37" s="3"/>
      <c r="J37" s="3"/>
      <c r="K37" s="11">
        <v>32496000</v>
      </c>
      <c r="M37" s="3">
        <v>3</v>
      </c>
      <c r="N37" s="9" t="s">
        <v>62</v>
      </c>
      <c r="O37" s="9" t="s">
        <v>63</v>
      </c>
      <c r="P37" s="3">
        <v>56</v>
      </c>
      <c r="Q37" s="14" t="s">
        <v>44</v>
      </c>
      <c r="R37" s="14">
        <f>89187+21291+18974</f>
        <v>129452</v>
      </c>
      <c r="S37" s="14">
        <v>3927</v>
      </c>
      <c r="T37" s="11"/>
      <c r="U37" s="11"/>
      <c r="V37" s="14">
        <v>30924000</v>
      </c>
      <c r="X37" s="24">
        <f>V37-K37</f>
        <v>-1572000</v>
      </c>
      <c r="Y37" s="25"/>
    </row>
    <row r="38" spans="2:25" x14ac:dyDescent="0.25">
      <c r="B38" s="3">
        <v>4</v>
      </c>
      <c r="C38" s="3" t="s">
        <v>42</v>
      </c>
      <c r="D38" s="3" t="s">
        <v>43</v>
      </c>
      <c r="E38" s="3">
        <v>62</v>
      </c>
      <c r="F38" s="3">
        <f>96391+22151+19005</f>
        <v>137547</v>
      </c>
      <c r="G38" s="14">
        <f>99861+22491+19058</f>
        <v>141410</v>
      </c>
      <c r="H38" s="14">
        <v>3863</v>
      </c>
      <c r="I38" s="11">
        <v>37543913</v>
      </c>
      <c r="J38" s="11">
        <v>3378952</v>
      </c>
      <c r="K38" s="83">
        <v>44716000</v>
      </c>
      <c r="M38" s="3">
        <v>4</v>
      </c>
      <c r="N38" s="9" t="s">
        <v>63</v>
      </c>
      <c r="O38" s="9" t="s">
        <v>64</v>
      </c>
      <c r="P38" s="3">
        <v>49</v>
      </c>
      <c r="Q38" s="14">
        <f>89187+21291+18974</f>
        <v>129452</v>
      </c>
      <c r="R38" s="14">
        <f>89187+21291+18974</f>
        <v>129452</v>
      </c>
      <c r="S38" s="14">
        <v>2726</v>
      </c>
      <c r="T38" s="11">
        <v>18310657</v>
      </c>
      <c r="U38" s="11">
        <v>1647959</v>
      </c>
      <c r="V38" s="14">
        <v>21804000</v>
      </c>
      <c r="X38" s="24">
        <f>V38-K38</f>
        <v>-22912000</v>
      </c>
      <c r="Y38" s="25"/>
    </row>
    <row r="39" spans="2:25" x14ac:dyDescent="0.25">
      <c r="B39" s="69"/>
      <c r="C39" s="69"/>
      <c r="D39" s="69"/>
      <c r="E39" s="69"/>
      <c r="F39" s="69"/>
      <c r="G39" s="70"/>
      <c r="H39" s="70"/>
      <c r="I39" s="69"/>
      <c r="J39" s="69"/>
      <c r="K39" s="77" t="s">
        <v>77</v>
      </c>
      <c r="M39" s="76">
        <v>5</v>
      </c>
      <c r="N39" s="3" t="s">
        <v>64</v>
      </c>
      <c r="O39" s="3" t="s">
        <v>74</v>
      </c>
      <c r="P39" s="3">
        <v>54</v>
      </c>
      <c r="Q39" s="3">
        <f>89187+21291+18974</f>
        <v>129452</v>
      </c>
      <c r="R39" s="14">
        <f>90330+21498+18985</f>
        <v>130813</v>
      </c>
      <c r="S39" s="14">
        <v>1361</v>
      </c>
      <c r="T39" s="14">
        <v>6684307</v>
      </c>
      <c r="U39" s="14">
        <v>601588</v>
      </c>
      <c r="V39" s="74">
        <v>7971000</v>
      </c>
    </row>
    <row r="42" spans="2:25" ht="19.5" x14ac:dyDescent="0.25">
      <c r="B42" s="29" t="s">
        <v>51</v>
      </c>
      <c r="C42" s="29"/>
      <c r="D42" s="29"/>
      <c r="E42" s="29"/>
      <c r="F42" s="29"/>
      <c r="G42" s="29"/>
      <c r="H42" s="29"/>
      <c r="I42" s="29"/>
      <c r="J42" s="29"/>
      <c r="K42" s="29"/>
      <c r="M42" s="29" t="s">
        <v>67</v>
      </c>
      <c r="N42" s="29"/>
      <c r="O42" s="29"/>
      <c r="P42" s="29"/>
      <c r="Q42" s="29"/>
      <c r="R42" s="29"/>
      <c r="S42" s="29"/>
      <c r="T42" s="29"/>
      <c r="U42" s="29"/>
      <c r="V42" s="29"/>
    </row>
    <row r="43" spans="2:25" ht="27" x14ac:dyDescent="0.25">
      <c r="B43" s="30" t="s">
        <v>0</v>
      </c>
      <c r="C43" s="30" t="s">
        <v>32</v>
      </c>
      <c r="D43" s="31" t="s">
        <v>33</v>
      </c>
      <c r="E43" s="30" t="s">
        <v>37</v>
      </c>
      <c r="F43" s="31" t="s">
        <v>36</v>
      </c>
      <c r="G43" s="33" t="s">
        <v>39</v>
      </c>
      <c r="H43" s="33" t="s">
        <v>41</v>
      </c>
      <c r="I43" s="35" t="s">
        <v>25</v>
      </c>
      <c r="J43" s="15" t="s">
        <v>2</v>
      </c>
      <c r="K43" s="31" t="s">
        <v>38</v>
      </c>
      <c r="M43" s="30" t="s">
        <v>0</v>
      </c>
      <c r="N43" s="30" t="s">
        <v>32</v>
      </c>
      <c r="O43" s="31" t="s">
        <v>33</v>
      </c>
      <c r="P43" s="30" t="s">
        <v>37</v>
      </c>
      <c r="Q43" s="31" t="s">
        <v>36</v>
      </c>
      <c r="R43" s="33" t="s">
        <v>39</v>
      </c>
      <c r="S43" s="33" t="s">
        <v>41</v>
      </c>
      <c r="T43" s="35" t="s">
        <v>25</v>
      </c>
      <c r="U43" s="15" t="s">
        <v>2</v>
      </c>
      <c r="V43" s="31" t="s">
        <v>38</v>
      </c>
    </row>
    <row r="44" spans="2:25" ht="31.5" x14ac:dyDescent="0.25">
      <c r="B44" s="30"/>
      <c r="C44" s="30"/>
      <c r="D44" s="32"/>
      <c r="E44" s="30"/>
      <c r="F44" s="32"/>
      <c r="G44" s="34"/>
      <c r="H44" s="34"/>
      <c r="I44" s="36"/>
      <c r="J44" s="19" t="s">
        <v>27</v>
      </c>
      <c r="K44" s="32"/>
      <c r="M44" s="30"/>
      <c r="N44" s="30"/>
      <c r="O44" s="32"/>
      <c r="P44" s="30"/>
      <c r="Q44" s="32"/>
      <c r="R44" s="34"/>
      <c r="S44" s="34"/>
      <c r="T44" s="36"/>
      <c r="U44" s="19" t="s">
        <v>27</v>
      </c>
      <c r="V44" s="32"/>
      <c r="X44" s="18" t="s">
        <v>73</v>
      </c>
      <c r="Y44" s="18" t="s">
        <v>72</v>
      </c>
    </row>
    <row r="45" spans="2:25" x14ac:dyDescent="0.25">
      <c r="B45" s="3">
        <v>1</v>
      </c>
      <c r="C45" s="9" t="s">
        <v>35</v>
      </c>
      <c r="D45" s="9" t="s">
        <v>34</v>
      </c>
      <c r="E45" s="3">
        <v>84</v>
      </c>
      <c r="F45" s="14">
        <f>39108+36808+72826</f>
        <v>148742</v>
      </c>
      <c r="G45" s="14">
        <f>43899+37996+75523</f>
        <v>157418</v>
      </c>
      <c r="H45" s="14">
        <v>8676</v>
      </c>
      <c r="I45" s="11">
        <v>61324108</v>
      </c>
      <c r="J45" s="11">
        <v>5519170</v>
      </c>
      <c r="K45" s="11">
        <v>53149000</v>
      </c>
      <c r="M45" s="3">
        <v>1</v>
      </c>
      <c r="N45" s="9" t="s">
        <v>60</v>
      </c>
      <c r="O45" s="9" t="s">
        <v>61</v>
      </c>
      <c r="P45" s="3">
        <v>84</v>
      </c>
      <c r="Q45" s="14"/>
      <c r="R45" s="14"/>
      <c r="S45" s="14">
        <v>8585</v>
      </c>
      <c r="T45" s="11"/>
      <c r="U45" s="11"/>
      <c r="V45" s="11">
        <v>43987000</v>
      </c>
      <c r="X45" s="24">
        <f>V45-K45</f>
        <v>-9162000</v>
      </c>
      <c r="Y45" s="25">
        <f t="shared" ref="Y45:Y48" si="3">V45/K45</f>
        <v>0.82761670022013589</v>
      </c>
    </row>
    <row r="46" spans="2:25" x14ac:dyDescent="0.25">
      <c r="B46" s="3">
        <v>2</v>
      </c>
      <c r="C46" s="9" t="s">
        <v>34</v>
      </c>
      <c r="D46" s="9" t="s">
        <v>40</v>
      </c>
      <c r="E46" s="3">
        <v>57</v>
      </c>
      <c r="F46" s="14">
        <f>43899+37996+75523</f>
        <v>157418</v>
      </c>
      <c r="G46" s="14">
        <f>47353+38793+77239</f>
        <v>163385</v>
      </c>
      <c r="H46" s="14">
        <v>5967</v>
      </c>
      <c r="I46" s="11">
        <v>49683466</v>
      </c>
      <c r="J46" s="11">
        <v>4471512</v>
      </c>
      <c r="K46" s="11">
        <v>61418000</v>
      </c>
      <c r="M46" s="3">
        <v>2</v>
      </c>
      <c r="N46" s="9" t="s">
        <v>61</v>
      </c>
      <c r="O46" s="9" t="s">
        <v>62</v>
      </c>
      <c r="P46" s="3">
        <v>64</v>
      </c>
      <c r="Q46" s="14"/>
      <c r="R46" s="14">
        <f>24323+33240+65224</f>
        <v>122787</v>
      </c>
      <c r="S46" s="14">
        <v>7257</v>
      </c>
      <c r="T46" s="11"/>
      <c r="U46" s="11"/>
      <c r="V46" s="11">
        <v>50098000</v>
      </c>
      <c r="X46" s="24">
        <f>V46-K46</f>
        <v>-11320000</v>
      </c>
      <c r="Y46" s="25">
        <f t="shared" si="3"/>
        <v>0.81568921163176922</v>
      </c>
    </row>
    <row r="47" spans="2:25" x14ac:dyDescent="0.25">
      <c r="B47" s="3">
        <v>3</v>
      </c>
      <c r="C47" s="9" t="s">
        <v>40</v>
      </c>
      <c r="D47" s="3" t="s">
        <v>42</v>
      </c>
      <c r="E47" s="3">
        <v>53</v>
      </c>
      <c r="F47" s="14">
        <f>47353+38793+77239</f>
        <v>163385</v>
      </c>
      <c r="G47" s="3">
        <f>50819+39569+78783</f>
        <v>169171</v>
      </c>
      <c r="H47" s="14">
        <v>5786</v>
      </c>
      <c r="I47" s="3"/>
      <c r="J47" s="3"/>
      <c r="K47" s="11">
        <v>64346000</v>
      </c>
      <c r="M47" s="3">
        <v>3</v>
      </c>
      <c r="N47" s="9" t="s">
        <v>62</v>
      </c>
      <c r="O47" s="3" t="s">
        <v>64</v>
      </c>
      <c r="P47" s="3">
        <v>105</v>
      </c>
      <c r="Q47" s="14">
        <f>24323+33240+65224</f>
        <v>122787</v>
      </c>
      <c r="R47" s="3">
        <f>31839+35034+68913</f>
        <v>135786</v>
      </c>
      <c r="S47" s="14">
        <v>12999</v>
      </c>
      <c r="T47" s="14">
        <v>89162579</v>
      </c>
      <c r="U47" s="14">
        <v>8024632</v>
      </c>
      <c r="V47" s="11">
        <v>106134000</v>
      </c>
      <c r="X47" s="24">
        <f>V47-K47</f>
        <v>41788000</v>
      </c>
      <c r="Y47" s="25">
        <f t="shared" si="3"/>
        <v>1.6494265377801263</v>
      </c>
    </row>
    <row r="48" spans="2:25" x14ac:dyDescent="0.25">
      <c r="B48" s="3">
        <v>4</v>
      </c>
      <c r="C48" s="3" t="s">
        <v>42</v>
      </c>
      <c r="D48" s="3" t="s">
        <v>43</v>
      </c>
      <c r="E48" s="3">
        <v>62</v>
      </c>
      <c r="F48" s="3">
        <f>50819+39569+78783</f>
        <v>169171</v>
      </c>
      <c r="G48" s="14">
        <f>55024+40516+80664</f>
        <v>176204</v>
      </c>
      <c r="H48" s="14">
        <v>7033</v>
      </c>
      <c r="I48" s="11">
        <v>70726707</v>
      </c>
      <c r="J48" s="11">
        <v>6365403</v>
      </c>
      <c r="K48" s="83">
        <v>84203000</v>
      </c>
      <c r="M48" s="76">
        <v>4</v>
      </c>
      <c r="N48" s="76" t="s">
        <v>64</v>
      </c>
      <c r="O48" s="3" t="s">
        <v>74</v>
      </c>
      <c r="P48" s="3">
        <v>54</v>
      </c>
      <c r="Q48" s="3">
        <f>31839+35034+68913</f>
        <v>135786</v>
      </c>
      <c r="R48" s="3">
        <f>35524+35937+70886</f>
        <v>142347</v>
      </c>
      <c r="S48" s="3">
        <v>6561</v>
      </c>
      <c r="T48" s="14">
        <v>38525081</v>
      </c>
      <c r="U48" s="14">
        <v>3467257</v>
      </c>
      <c r="V48" s="74">
        <v>45861000</v>
      </c>
      <c r="X48" s="24">
        <f>V48-K48</f>
        <v>-38342000</v>
      </c>
      <c r="Y48" s="25">
        <f t="shared" si="3"/>
        <v>0.54464805291972973</v>
      </c>
    </row>
    <row r="49" spans="1:25" x14ac:dyDescent="0.25">
      <c r="A49" s="69"/>
      <c r="B49" s="69"/>
      <c r="C49" s="69"/>
      <c r="D49" s="69"/>
      <c r="E49" s="69"/>
      <c r="F49" s="69"/>
      <c r="G49" s="70"/>
      <c r="H49" s="70"/>
      <c r="I49" s="71"/>
      <c r="J49" s="71"/>
      <c r="K49" s="84" t="s">
        <v>77</v>
      </c>
      <c r="M49" s="78"/>
      <c r="N49" s="78"/>
      <c r="O49" s="69"/>
      <c r="P49" s="69"/>
      <c r="Q49" s="69"/>
      <c r="R49" s="69"/>
      <c r="S49" s="69"/>
      <c r="T49" s="69"/>
      <c r="U49" s="70"/>
      <c r="V49" s="69"/>
      <c r="X49" s="72"/>
      <c r="Y49" s="28"/>
    </row>
    <row r="50" spans="1:25" ht="5.25" customHeight="1" x14ac:dyDescent="0.25">
      <c r="I50" s="27"/>
      <c r="J50" s="27"/>
      <c r="K50" s="27"/>
      <c r="N50" s="75"/>
      <c r="Y50" s="28"/>
    </row>
    <row r="52" spans="1:25" ht="19.5" x14ac:dyDescent="0.25">
      <c r="B52" s="29" t="s">
        <v>52</v>
      </c>
      <c r="C52" s="29"/>
      <c r="D52" s="29"/>
      <c r="E52" s="29"/>
      <c r="F52" s="29"/>
      <c r="G52" s="29"/>
      <c r="H52" s="29"/>
      <c r="I52" s="29"/>
      <c r="J52" s="29"/>
      <c r="K52" s="29"/>
      <c r="M52" s="29" t="s">
        <v>69</v>
      </c>
      <c r="N52" s="29"/>
      <c r="O52" s="29"/>
      <c r="P52" s="29"/>
      <c r="Q52" s="29"/>
      <c r="R52" s="29"/>
      <c r="S52" s="29"/>
      <c r="T52" s="29"/>
      <c r="U52" s="29"/>
      <c r="V52" s="29"/>
    </row>
    <row r="53" spans="1:25" ht="27" x14ac:dyDescent="0.25">
      <c r="B53" s="30" t="s">
        <v>0</v>
      </c>
      <c r="C53" s="30" t="s">
        <v>32</v>
      </c>
      <c r="D53" s="31" t="s">
        <v>33</v>
      </c>
      <c r="E53" s="30" t="s">
        <v>37</v>
      </c>
      <c r="F53" s="31" t="s">
        <v>36</v>
      </c>
      <c r="G53" s="33" t="s">
        <v>39</v>
      </c>
      <c r="H53" s="33" t="s">
        <v>41</v>
      </c>
      <c r="I53" s="35" t="s">
        <v>25</v>
      </c>
      <c r="J53" s="15" t="s">
        <v>2</v>
      </c>
      <c r="K53" s="31" t="s">
        <v>38</v>
      </c>
      <c r="M53" s="30" t="s">
        <v>0</v>
      </c>
      <c r="N53" s="30" t="s">
        <v>32</v>
      </c>
      <c r="O53" s="31" t="s">
        <v>33</v>
      </c>
      <c r="P53" s="30" t="s">
        <v>37</v>
      </c>
      <c r="Q53" s="31" t="s">
        <v>36</v>
      </c>
      <c r="R53" s="33" t="s">
        <v>39</v>
      </c>
      <c r="S53" s="33" t="s">
        <v>41</v>
      </c>
      <c r="T53" s="35" t="s">
        <v>25</v>
      </c>
      <c r="U53" s="15" t="s">
        <v>2</v>
      </c>
      <c r="V53" s="31" t="s">
        <v>38</v>
      </c>
    </row>
    <row r="54" spans="1:25" ht="31.5" x14ac:dyDescent="0.25">
      <c r="B54" s="30"/>
      <c r="C54" s="30"/>
      <c r="D54" s="32"/>
      <c r="E54" s="30"/>
      <c r="F54" s="32"/>
      <c r="G54" s="34"/>
      <c r="H54" s="34"/>
      <c r="I54" s="36"/>
      <c r="J54" s="19" t="s">
        <v>27</v>
      </c>
      <c r="K54" s="32"/>
      <c r="M54" s="30"/>
      <c r="N54" s="30"/>
      <c r="O54" s="32"/>
      <c r="P54" s="30"/>
      <c r="Q54" s="32"/>
      <c r="R54" s="34"/>
      <c r="S54" s="34"/>
      <c r="T54" s="36"/>
      <c r="U54" s="19" t="s">
        <v>27</v>
      </c>
      <c r="V54" s="32"/>
      <c r="X54" s="18" t="s">
        <v>73</v>
      </c>
      <c r="Y54" s="18" t="s">
        <v>72</v>
      </c>
    </row>
    <row r="55" spans="1:25" x14ac:dyDescent="0.25">
      <c r="B55" s="3">
        <v>1</v>
      </c>
      <c r="C55" s="9" t="s">
        <v>53</v>
      </c>
      <c r="D55" s="9" t="s">
        <v>34</v>
      </c>
      <c r="E55" s="3">
        <v>36</v>
      </c>
      <c r="F55" s="14">
        <v>0</v>
      </c>
      <c r="G55" s="14">
        <f>860+133+62</f>
        <v>1055</v>
      </c>
      <c r="H55" s="14">
        <v>1055</v>
      </c>
      <c r="I55" s="11">
        <v>6306883</v>
      </c>
      <c r="J55" s="11">
        <v>567620</v>
      </c>
      <c r="K55" s="11">
        <v>6772000</v>
      </c>
      <c r="M55" s="3">
        <v>1</v>
      </c>
      <c r="N55" s="9" t="s">
        <v>60</v>
      </c>
      <c r="O55" s="9" t="s">
        <v>61</v>
      </c>
      <c r="P55" s="3">
        <v>84</v>
      </c>
      <c r="Q55" s="14"/>
      <c r="R55" s="14"/>
      <c r="S55" s="14">
        <v>2207</v>
      </c>
      <c r="T55" s="11"/>
      <c r="U55" s="11"/>
      <c r="V55" s="11">
        <v>22000</v>
      </c>
      <c r="X55" s="24">
        <f>V55-K55</f>
        <v>-6750000</v>
      </c>
      <c r="Y55" s="25">
        <f t="shared" ref="Y55:Y58" si="4">V55/K55</f>
        <v>3.2486709982279976E-3</v>
      </c>
    </row>
    <row r="56" spans="1:25" x14ac:dyDescent="0.25">
      <c r="B56" s="3">
        <v>2</v>
      </c>
      <c r="C56" s="9" t="s">
        <v>34</v>
      </c>
      <c r="D56" s="9" t="s">
        <v>40</v>
      </c>
      <c r="E56" s="3">
        <v>57</v>
      </c>
      <c r="F56" s="14">
        <f>860+133+62</f>
        <v>1055</v>
      </c>
      <c r="G56" s="14">
        <f>3019+349+811</f>
        <v>4179</v>
      </c>
      <c r="H56" s="14">
        <v>3124</v>
      </c>
      <c r="I56" s="11">
        <v>13337690</v>
      </c>
      <c r="J56" s="11">
        <v>1200392</v>
      </c>
      <c r="K56" s="11">
        <v>16218000</v>
      </c>
      <c r="M56" s="3">
        <v>2</v>
      </c>
      <c r="N56" s="9" t="s">
        <v>61</v>
      </c>
      <c r="O56" s="9" t="s">
        <v>62</v>
      </c>
      <c r="P56" s="3">
        <v>64</v>
      </c>
      <c r="Q56" s="14"/>
      <c r="R56" s="14"/>
      <c r="S56" s="14">
        <v>3546</v>
      </c>
      <c r="T56" s="11"/>
      <c r="U56" s="11"/>
      <c r="V56" s="11">
        <v>216000</v>
      </c>
      <c r="X56" s="24">
        <f>V56-K56</f>
        <v>-16002000</v>
      </c>
      <c r="Y56" s="25">
        <f t="shared" si="4"/>
        <v>1.3318534961154272E-2</v>
      </c>
    </row>
    <row r="57" spans="1:25" x14ac:dyDescent="0.25">
      <c r="B57" s="3">
        <v>3</v>
      </c>
      <c r="C57" s="9" t="s">
        <v>40</v>
      </c>
      <c r="D57" s="3" t="s">
        <v>49</v>
      </c>
      <c r="E57" s="3">
        <v>50</v>
      </c>
      <c r="F57" s="14">
        <f>3019+349+811</f>
        <v>4179</v>
      </c>
      <c r="G57" s="3">
        <f>5792+701-3355</f>
        <v>3138</v>
      </c>
      <c r="H57" s="14">
        <v>5669</v>
      </c>
      <c r="I57" s="3"/>
      <c r="J57" s="3"/>
      <c r="K57" s="11">
        <v>28039000</v>
      </c>
      <c r="M57" s="3">
        <v>3</v>
      </c>
      <c r="N57" s="9" t="s">
        <v>62</v>
      </c>
      <c r="O57" s="3" t="s">
        <v>63</v>
      </c>
      <c r="P57" s="3">
        <v>56</v>
      </c>
      <c r="Q57" s="14"/>
      <c r="R57" s="3"/>
      <c r="S57" s="14">
        <v>7119</v>
      </c>
      <c r="T57" s="3"/>
      <c r="U57" s="3"/>
      <c r="V57" s="11">
        <v>664000</v>
      </c>
      <c r="X57" s="24">
        <f>V57-K57</f>
        <v>-27375000</v>
      </c>
      <c r="Y57" s="25">
        <f t="shared" si="4"/>
        <v>2.3681301044973072E-2</v>
      </c>
    </row>
    <row r="58" spans="1:25" x14ac:dyDescent="0.25">
      <c r="B58" s="3">
        <v>4</v>
      </c>
      <c r="C58" s="3" t="s">
        <v>49</v>
      </c>
      <c r="D58" s="3" t="s">
        <v>43</v>
      </c>
      <c r="E58" s="3">
        <v>65</v>
      </c>
      <c r="F58" s="3">
        <f>5792+701-3355</f>
        <v>3138</v>
      </c>
      <c r="G58" s="14">
        <f>8886+3331+3915</f>
        <v>16132</v>
      </c>
      <c r="H58" s="14">
        <v>6284</v>
      </c>
      <c r="I58" s="11">
        <v>46141235</v>
      </c>
      <c r="J58" s="11">
        <v>4152711</v>
      </c>
      <c r="K58" s="83">
        <v>54883000</v>
      </c>
      <c r="M58" s="3">
        <v>4</v>
      </c>
      <c r="N58" s="3" t="s">
        <v>63</v>
      </c>
      <c r="O58" s="3" t="s">
        <v>65</v>
      </c>
      <c r="P58" s="3">
        <v>49</v>
      </c>
      <c r="Q58" s="3"/>
      <c r="R58" s="14">
        <f>39344+26924+13427</f>
        <v>79695</v>
      </c>
      <c r="S58" s="14">
        <v>4646</v>
      </c>
      <c r="T58" s="11"/>
      <c r="U58" s="11"/>
      <c r="V58" s="11">
        <v>969000</v>
      </c>
      <c r="X58" s="24">
        <f>V58-K58</f>
        <v>-53914000</v>
      </c>
      <c r="Y58" s="25">
        <f t="shared" si="4"/>
        <v>1.765574039320008E-2</v>
      </c>
    </row>
    <row r="59" spans="1:25" x14ac:dyDescent="0.25">
      <c r="B59" s="69"/>
      <c r="C59" s="69"/>
      <c r="D59" s="69"/>
      <c r="E59" s="69"/>
      <c r="F59" s="69"/>
      <c r="G59" s="70"/>
      <c r="H59" s="70"/>
      <c r="I59" s="71"/>
      <c r="J59" s="71"/>
      <c r="K59" s="84" t="s">
        <v>77</v>
      </c>
      <c r="M59" s="76">
        <v>5</v>
      </c>
      <c r="N59" s="3" t="s">
        <v>64</v>
      </c>
      <c r="O59" s="3" t="s">
        <v>74</v>
      </c>
      <c r="P59" s="3">
        <v>54</v>
      </c>
      <c r="Q59" s="14">
        <f>39344+26924+13427</f>
        <v>79695</v>
      </c>
      <c r="R59" s="14">
        <f>41653+27437+13646</f>
        <v>82736</v>
      </c>
      <c r="S59" s="14">
        <v>3041</v>
      </c>
      <c r="T59" s="11">
        <v>10862381</v>
      </c>
      <c r="U59" s="11">
        <v>977614</v>
      </c>
      <c r="V59" s="81">
        <v>12907000</v>
      </c>
      <c r="X59" s="72"/>
      <c r="Y59" s="28"/>
    </row>
    <row r="60" spans="1:25" x14ac:dyDescent="0.25">
      <c r="I60" s="27"/>
      <c r="J60" s="27"/>
      <c r="K60" s="27"/>
      <c r="R60" s="13"/>
      <c r="S60" s="13"/>
      <c r="T60" s="27"/>
      <c r="U60" s="27"/>
      <c r="V60" s="27"/>
      <c r="Y60" s="28"/>
    </row>
    <row r="62" spans="1:25" ht="19.5" x14ac:dyDescent="0.25">
      <c r="B62" s="29" t="s">
        <v>55</v>
      </c>
      <c r="C62" s="29"/>
      <c r="D62" s="29"/>
      <c r="E62" s="29"/>
      <c r="F62" s="29"/>
      <c r="G62" s="29"/>
      <c r="H62" s="29"/>
      <c r="I62" s="29"/>
      <c r="J62" s="29"/>
      <c r="K62" s="29"/>
      <c r="M62" s="29" t="s">
        <v>70</v>
      </c>
      <c r="N62" s="29"/>
      <c r="O62" s="29"/>
      <c r="P62" s="29"/>
      <c r="Q62" s="29"/>
      <c r="R62" s="29"/>
      <c r="S62" s="29"/>
      <c r="T62" s="29"/>
      <c r="U62" s="29"/>
      <c r="V62" s="29"/>
    </row>
    <row r="63" spans="1:25" ht="27" x14ac:dyDescent="0.25">
      <c r="B63" s="30" t="s">
        <v>0</v>
      </c>
      <c r="C63" s="30" t="s">
        <v>32</v>
      </c>
      <c r="D63" s="31" t="s">
        <v>33</v>
      </c>
      <c r="E63" s="30" t="s">
        <v>37</v>
      </c>
      <c r="F63" s="31" t="s">
        <v>36</v>
      </c>
      <c r="G63" s="33" t="s">
        <v>39</v>
      </c>
      <c r="H63" s="33" t="s">
        <v>41</v>
      </c>
      <c r="I63" s="35" t="s">
        <v>25</v>
      </c>
      <c r="J63" s="15" t="s">
        <v>2</v>
      </c>
      <c r="K63" s="31" t="s">
        <v>38</v>
      </c>
      <c r="M63" s="30" t="s">
        <v>0</v>
      </c>
      <c r="N63" s="30" t="s">
        <v>32</v>
      </c>
      <c r="O63" s="31" t="s">
        <v>33</v>
      </c>
      <c r="P63" s="30" t="s">
        <v>37</v>
      </c>
      <c r="Q63" s="31" t="s">
        <v>36</v>
      </c>
      <c r="R63" s="33" t="s">
        <v>39</v>
      </c>
      <c r="S63" s="33" t="s">
        <v>41</v>
      </c>
      <c r="T63" s="35" t="s">
        <v>25</v>
      </c>
      <c r="U63" s="15" t="s">
        <v>2</v>
      </c>
      <c r="V63" s="31" t="s">
        <v>38</v>
      </c>
    </row>
    <row r="64" spans="1:25" ht="31.5" x14ac:dyDescent="0.25">
      <c r="B64" s="30"/>
      <c r="C64" s="30"/>
      <c r="D64" s="32"/>
      <c r="E64" s="30"/>
      <c r="F64" s="32"/>
      <c r="G64" s="34"/>
      <c r="H64" s="34"/>
      <c r="I64" s="36"/>
      <c r="J64" s="19" t="s">
        <v>27</v>
      </c>
      <c r="K64" s="32"/>
      <c r="M64" s="30"/>
      <c r="N64" s="30"/>
      <c r="O64" s="32"/>
      <c r="P64" s="30"/>
      <c r="Q64" s="32"/>
      <c r="R64" s="34"/>
      <c r="S64" s="34"/>
      <c r="T64" s="36"/>
      <c r="U64" s="19" t="s">
        <v>27</v>
      </c>
      <c r="V64" s="32"/>
      <c r="X64" s="18" t="s">
        <v>73</v>
      </c>
      <c r="Y64" s="18" t="s">
        <v>72</v>
      </c>
    </row>
    <row r="65" spans="2:25" x14ac:dyDescent="0.25">
      <c r="B65" s="3">
        <v>1</v>
      </c>
      <c r="C65" s="9" t="s">
        <v>35</v>
      </c>
      <c r="D65" s="9" t="s">
        <v>34</v>
      </c>
      <c r="E65" s="3">
        <v>84</v>
      </c>
      <c r="F65" s="14">
        <f>42060+12259+9782</f>
        <v>64101</v>
      </c>
      <c r="G65" s="14">
        <f>42983+12436+9808</f>
        <v>65227</v>
      </c>
      <c r="H65" s="14">
        <v>1126</v>
      </c>
      <c r="I65" s="11">
        <v>5660961</v>
      </c>
      <c r="J65" s="11">
        <v>509487</v>
      </c>
      <c r="K65" s="11">
        <v>4343000</v>
      </c>
      <c r="M65" s="3">
        <v>1</v>
      </c>
      <c r="N65" s="9" t="s">
        <v>60</v>
      </c>
      <c r="O65" s="9" t="s">
        <v>61</v>
      </c>
      <c r="P65" s="3">
        <v>84</v>
      </c>
      <c r="Q65" s="14"/>
      <c r="R65" s="14"/>
      <c r="S65" s="14">
        <v>1090</v>
      </c>
      <c r="T65" s="11"/>
      <c r="U65" s="11"/>
      <c r="V65" s="11">
        <v>1052000</v>
      </c>
      <c r="X65" s="24">
        <f>V65-K65</f>
        <v>-3291000</v>
      </c>
      <c r="Y65" s="25">
        <f t="shared" ref="Y65:Y68" si="5">V65/K65</f>
        <v>0.24222887405019572</v>
      </c>
    </row>
    <row r="66" spans="2:25" x14ac:dyDescent="0.25">
      <c r="B66" s="3">
        <v>2</v>
      </c>
      <c r="C66" s="9" t="s">
        <v>34</v>
      </c>
      <c r="D66" s="9" t="s">
        <v>40</v>
      </c>
      <c r="E66" s="3">
        <v>57</v>
      </c>
      <c r="F66" s="14">
        <f>42983+12436+9808</f>
        <v>65227</v>
      </c>
      <c r="G66" s="14">
        <f>43904+12533+9820</f>
        <v>66257</v>
      </c>
      <c r="H66" s="14">
        <v>1030</v>
      </c>
      <c r="I66" s="11">
        <v>6311796</v>
      </c>
      <c r="J66" s="11">
        <v>568062</v>
      </c>
      <c r="K66" s="11">
        <v>7988000</v>
      </c>
      <c r="M66" s="3">
        <v>2</v>
      </c>
      <c r="N66" s="9" t="s">
        <v>61</v>
      </c>
      <c r="O66" s="9" t="s">
        <v>62</v>
      </c>
      <c r="P66" s="3">
        <v>64</v>
      </c>
      <c r="Q66" s="14"/>
      <c r="R66" s="14"/>
      <c r="S66" s="14">
        <v>1076</v>
      </c>
      <c r="T66" s="11"/>
      <c r="U66" s="11"/>
      <c r="V66" s="11">
        <v>5437000</v>
      </c>
      <c r="X66" s="24">
        <f>V66-K66</f>
        <v>-2551000</v>
      </c>
      <c r="Y66" s="25">
        <f t="shared" si="5"/>
        <v>0.6806459689534301</v>
      </c>
    </row>
    <row r="67" spans="2:25" x14ac:dyDescent="0.25">
      <c r="B67" s="3">
        <v>3</v>
      </c>
      <c r="C67" s="9" t="s">
        <v>40</v>
      </c>
      <c r="D67" s="3" t="s">
        <v>42</v>
      </c>
      <c r="E67" s="3">
        <v>53</v>
      </c>
      <c r="F67" s="14">
        <f>43904+12533+9820</f>
        <v>66257</v>
      </c>
      <c r="G67" s="14">
        <f>45916+12764+9851</f>
        <v>68531</v>
      </c>
      <c r="H67" s="14">
        <v>2274</v>
      </c>
      <c r="I67" s="3"/>
      <c r="J67" s="3"/>
      <c r="K67" s="11">
        <v>23401000</v>
      </c>
      <c r="M67" s="3">
        <v>3</v>
      </c>
      <c r="N67" s="9" t="s">
        <v>62</v>
      </c>
      <c r="O67" s="3" t="s">
        <v>63</v>
      </c>
      <c r="P67" s="3">
        <v>56</v>
      </c>
      <c r="Q67" s="14"/>
      <c r="R67" s="14">
        <f>39063+11918+9724</f>
        <v>60705</v>
      </c>
      <c r="S67" s="14">
        <v>2171</v>
      </c>
      <c r="T67" s="3"/>
      <c r="U67" s="3"/>
      <c r="V67" s="11">
        <v>15624000</v>
      </c>
      <c r="X67" s="24">
        <f>V67-K67</f>
        <v>-7777000</v>
      </c>
      <c r="Y67" s="25">
        <f t="shared" si="5"/>
        <v>0.6676637750523482</v>
      </c>
    </row>
    <row r="68" spans="2:25" x14ac:dyDescent="0.25">
      <c r="B68" s="3">
        <v>4</v>
      </c>
      <c r="C68" s="3" t="s">
        <v>42</v>
      </c>
      <c r="D68" s="3" t="s">
        <v>43</v>
      </c>
      <c r="E68" s="3">
        <v>62</v>
      </c>
      <c r="F68" s="14">
        <f>45916+12764+9851</f>
        <v>68531</v>
      </c>
      <c r="G68" s="14">
        <f>48338+13018+9861</f>
        <v>71217</v>
      </c>
      <c r="H68" s="14">
        <v>2686</v>
      </c>
      <c r="I68" s="11">
        <v>24942780</v>
      </c>
      <c r="J68" s="11">
        <v>2244850</v>
      </c>
      <c r="K68" s="83">
        <v>29720000</v>
      </c>
      <c r="M68" s="3">
        <v>4</v>
      </c>
      <c r="N68" s="3" t="s">
        <v>63</v>
      </c>
      <c r="O68" s="3" t="s">
        <v>64</v>
      </c>
      <c r="P68" s="3">
        <v>49</v>
      </c>
      <c r="Q68" s="14">
        <f>39063+11918+9724</f>
        <v>60705</v>
      </c>
      <c r="R68" s="14">
        <f>40724+12021+9738</f>
        <v>62483</v>
      </c>
      <c r="S68" s="14">
        <v>1778</v>
      </c>
      <c r="T68" s="11">
        <v>11095908</v>
      </c>
      <c r="U68" s="11">
        <v>998632</v>
      </c>
      <c r="V68" s="11">
        <v>13219000</v>
      </c>
      <c r="X68" s="24">
        <f>V68-K68</f>
        <v>-16501000</v>
      </c>
      <c r="Y68" s="25">
        <f t="shared" si="5"/>
        <v>0.44478465679676987</v>
      </c>
    </row>
    <row r="69" spans="2:25" x14ac:dyDescent="0.25">
      <c r="B69" s="78"/>
      <c r="C69" s="78"/>
      <c r="D69" s="78"/>
      <c r="E69" s="78"/>
      <c r="F69" s="79"/>
      <c r="G69" s="79"/>
      <c r="H69" s="79"/>
      <c r="I69" s="80"/>
      <c r="J69" s="80"/>
      <c r="K69" s="84" t="s">
        <v>77</v>
      </c>
      <c r="M69" s="76">
        <v>5</v>
      </c>
      <c r="N69" s="3"/>
      <c r="O69" s="3"/>
      <c r="P69" s="3"/>
      <c r="Q69" s="14"/>
      <c r="R69" s="14"/>
      <c r="S69" s="14"/>
      <c r="T69" s="11">
        <v>3979817</v>
      </c>
      <c r="U69" s="11">
        <v>358183</v>
      </c>
      <c r="V69" s="11">
        <v>4338000</v>
      </c>
      <c r="X69" s="72"/>
      <c r="Y69" s="28"/>
    </row>
    <row r="70" spans="2:25" x14ac:dyDescent="0.25">
      <c r="F70" s="13"/>
      <c r="I70" s="27"/>
      <c r="J70" s="27"/>
      <c r="K70" s="27"/>
      <c r="Q70" s="13"/>
      <c r="R70" s="13"/>
      <c r="S70" s="13"/>
      <c r="T70" s="27"/>
      <c r="U70" s="27"/>
      <c r="V70" s="27"/>
      <c r="Y70" s="28"/>
    </row>
    <row r="72" spans="2:25" ht="19.5" x14ac:dyDescent="0.25">
      <c r="B72" s="29" t="s">
        <v>54</v>
      </c>
      <c r="C72" s="29"/>
      <c r="D72" s="29"/>
      <c r="E72" s="29"/>
      <c r="F72" s="29"/>
      <c r="G72" s="29"/>
      <c r="H72" s="29"/>
      <c r="I72" s="29"/>
      <c r="J72" s="29"/>
      <c r="K72" s="29"/>
      <c r="M72" s="29" t="s">
        <v>71</v>
      </c>
      <c r="N72" s="29"/>
      <c r="O72" s="29"/>
      <c r="P72" s="29"/>
      <c r="Q72" s="29"/>
      <c r="R72" s="29"/>
      <c r="S72" s="29"/>
      <c r="T72" s="29"/>
      <c r="U72" s="29"/>
      <c r="V72" s="29"/>
    </row>
    <row r="73" spans="2:25" ht="27" x14ac:dyDescent="0.25">
      <c r="B73" s="30" t="s">
        <v>0</v>
      </c>
      <c r="C73" s="30" t="s">
        <v>32</v>
      </c>
      <c r="D73" s="31" t="s">
        <v>33</v>
      </c>
      <c r="E73" s="30" t="s">
        <v>37</v>
      </c>
      <c r="F73" s="31" t="s">
        <v>36</v>
      </c>
      <c r="G73" s="33" t="s">
        <v>39</v>
      </c>
      <c r="H73" s="33" t="s">
        <v>41</v>
      </c>
      <c r="I73" s="35" t="s">
        <v>25</v>
      </c>
      <c r="J73" s="15" t="s">
        <v>2</v>
      </c>
      <c r="K73" s="31" t="s">
        <v>38</v>
      </c>
      <c r="M73" s="30" t="s">
        <v>0</v>
      </c>
      <c r="N73" s="30" t="s">
        <v>32</v>
      </c>
      <c r="O73" s="31" t="s">
        <v>33</v>
      </c>
      <c r="P73" s="30" t="s">
        <v>37</v>
      </c>
      <c r="Q73" s="31" t="s">
        <v>36</v>
      </c>
      <c r="R73" s="33" t="s">
        <v>39</v>
      </c>
      <c r="S73" s="33" t="s">
        <v>41</v>
      </c>
      <c r="T73" s="35" t="s">
        <v>25</v>
      </c>
      <c r="U73" s="15" t="s">
        <v>2</v>
      </c>
      <c r="V73" s="31" t="s">
        <v>38</v>
      </c>
    </row>
    <row r="74" spans="2:25" ht="31.5" x14ac:dyDescent="0.25">
      <c r="B74" s="30"/>
      <c r="C74" s="30"/>
      <c r="D74" s="32"/>
      <c r="E74" s="30"/>
      <c r="F74" s="32"/>
      <c r="G74" s="34"/>
      <c r="H74" s="34"/>
      <c r="I74" s="36"/>
      <c r="J74" s="19" t="s">
        <v>27</v>
      </c>
      <c r="K74" s="32"/>
      <c r="M74" s="30"/>
      <c r="N74" s="30"/>
      <c r="O74" s="32"/>
      <c r="P74" s="30"/>
      <c r="Q74" s="32"/>
      <c r="R74" s="34"/>
      <c r="S74" s="34"/>
      <c r="T74" s="36"/>
      <c r="U74" s="19" t="s">
        <v>27</v>
      </c>
      <c r="V74" s="32"/>
      <c r="X74" s="18" t="s">
        <v>73</v>
      </c>
      <c r="Y74" s="18" t="s">
        <v>72</v>
      </c>
    </row>
    <row r="75" spans="2:25" x14ac:dyDescent="0.25">
      <c r="B75" s="3">
        <v>1</v>
      </c>
      <c r="C75" s="9" t="s">
        <v>48</v>
      </c>
      <c r="D75" s="9" t="s">
        <v>34</v>
      </c>
      <c r="E75" s="3">
        <v>86</v>
      </c>
      <c r="F75" s="14">
        <f>10505+1821+2486</f>
        <v>14812</v>
      </c>
      <c r="G75" s="14">
        <f>12405+2090+2896</f>
        <v>17391</v>
      </c>
      <c r="H75" s="14">
        <v>2579</v>
      </c>
      <c r="I75" s="11">
        <v>15817166</v>
      </c>
      <c r="J75" s="11">
        <v>1423545</v>
      </c>
      <c r="K75" s="11">
        <v>14813000</v>
      </c>
      <c r="M75" s="3">
        <v>1</v>
      </c>
      <c r="N75" s="9" t="s">
        <v>60</v>
      </c>
      <c r="O75" s="9" t="s">
        <v>61</v>
      </c>
      <c r="P75" s="3">
        <v>84</v>
      </c>
      <c r="Q75" s="14"/>
      <c r="R75" s="14"/>
      <c r="S75" s="14">
        <v>2751</v>
      </c>
      <c r="T75" s="11"/>
      <c r="U75" s="11"/>
      <c r="V75" s="11">
        <v>26000</v>
      </c>
      <c r="X75" s="24">
        <f t="shared" ref="X75:X78" si="6">V75-K75</f>
        <v>-14787000</v>
      </c>
      <c r="Y75" s="25">
        <f t="shared" ref="Y75:Y78" si="7">V75/K75</f>
        <v>1.7552150138391953E-3</v>
      </c>
    </row>
    <row r="76" spans="2:25" x14ac:dyDescent="0.25">
      <c r="B76" s="3">
        <v>2</v>
      </c>
      <c r="C76" s="9" t="s">
        <v>34</v>
      </c>
      <c r="D76" s="9" t="s">
        <v>40</v>
      </c>
      <c r="E76" s="3">
        <v>57</v>
      </c>
      <c r="F76" s="14">
        <f>12405+2090+2896</f>
        <v>17391</v>
      </c>
      <c r="G76" s="14">
        <f>13034+2265+3034</f>
        <v>18333</v>
      </c>
      <c r="H76" s="14">
        <v>942</v>
      </c>
      <c r="I76" s="11">
        <v>5850249</v>
      </c>
      <c r="J76" s="11">
        <v>526522</v>
      </c>
      <c r="K76" s="11">
        <v>7448000</v>
      </c>
      <c r="M76" s="3">
        <v>2</v>
      </c>
      <c r="N76" s="9" t="s">
        <v>61</v>
      </c>
      <c r="O76" s="9" t="s">
        <v>62</v>
      </c>
      <c r="P76" s="3">
        <v>64</v>
      </c>
      <c r="Q76" s="14"/>
      <c r="R76" s="14"/>
      <c r="S76" s="14">
        <v>1308</v>
      </c>
      <c r="T76" s="11"/>
      <c r="U76" s="11"/>
      <c r="V76" s="11">
        <v>7073000</v>
      </c>
      <c r="X76" s="24">
        <f t="shared" si="6"/>
        <v>-375000</v>
      </c>
      <c r="Y76" s="25">
        <f t="shared" si="7"/>
        <v>0.94965091299677762</v>
      </c>
    </row>
    <row r="77" spans="2:25" x14ac:dyDescent="0.25">
      <c r="B77" s="3">
        <v>3</v>
      </c>
      <c r="C77" s="9" t="s">
        <v>40</v>
      </c>
      <c r="D77" s="3" t="s">
        <v>49</v>
      </c>
      <c r="E77" s="3">
        <v>50</v>
      </c>
      <c r="F77" s="14">
        <f>13034+2265+3034</f>
        <v>18333</v>
      </c>
      <c r="G77" s="14">
        <f>13326+2597+3233</f>
        <v>19156</v>
      </c>
      <c r="H77" s="14">
        <v>823</v>
      </c>
      <c r="I77" s="3"/>
      <c r="J77" s="3"/>
      <c r="K77" s="11">
        <v>7023000</v>
      </c>
      <c r="M77" s="3">
        <v>3</v>
      </c>
      <c r="N77" s="9" t="s">
        <v>62</v>
      </c>
      <c r="O77" s="3" t="s">
        <v>63</v>
      </c>
      <c r="P77" s="3">
        <v>56</v>
      </c>
      <c r="Q77" s="14"/>
      <c r="R77" s="14">
        <f>7690+1357+1810</f>
        <v>10857</v>
      </c>
      <c r="S77" s="14">
        <v>1175</v>
      </c>
      <c r="T77" s="3"/>
      <c r="U77" s="3"/>
      <c r="V77" s="11">
        <v>7330000</v>
      </c>
      <c r="X77" s="24">
        <f t="shared" si="6"/>
        <v>307000</v>
      </c>
      <c r="Y77" s="25">
        <f t="shared" si="7"/>
        <v>1.0437135127438417</v>
      </c>
    </row>
    <row r="78" spans="2:25" x14ac:dyDescent="0.25">
      <c r="B78" s="3">
        <v>4</v>
      </c>
      <c r="C78" s="3" t="s">
        <v>49</v>
      </c>
      <c r="D78" s="3" t="s">
        <v>43</v>
      </c>
      <c r="E78" s="3">
        <v>65</v>
      </c>
      <c r="F78" s="14">
        <f>13326+2597+3233</f>
        <v>19156</v>
      </c>
      <c r="G78" s="14">
        <f>13718+3065+3417</f>
        <v>20200</v>
      </c>
      <c r="H78" s="14">
        <v>1044</v>
      </c>
      <c r="I78" s="11">
        <v>8166012</v>
      </c>
      <c r="J78" s="3">
        <v>734941</v>
      </c>
      <c r="K78" s="83">
        <v>9311000</v>
      </c>
      <c r="M78" s="3">
        <v>4</v>
      </c>
      <c r="N78" s="3" t="s">
        <v>63</v>
      </c>
      <c r="O78" s="3" t="s">
        <v>68</v>
      </c>
      <c r="P78" s="3">
        <v>46</v>
      </c>
      <c r="Q78" s="14">
        <f>7690+1357+1810</f>
        <v>10857</v>
      </c>
      <c r="R78" s="14">
        <f>8314+1474+1983</f>
        <v>11771</v>
      </c>
      <c r="S78" s="14">
        <v>914</v>
      </c>
      <c r="T78" s="11">
        <v>4928677</v>
      </c>
      <c r="U78" s="14">
        <v>443581</v>
      </c>
      <c r="V78" s="11">
        <v>5865000</v>
      </c>
      <c r="X78" s="24">
        <f t="shared" si="6"/>
        <v>-3446000</v>
      </c>
      <c r="Y78" s="25">
        <f t="shared" si="7"/>
        <v>0.6299001181398346</v>
      </c>
    </row>
    <row r="79" spans="2:25" x14ac:dyDescent="0.25">
      <c r="B79" s="69"/>
      <c r="C79" s="69"/>
      <c r="D79" s="69"/>
      <c r="E79" s="69"/>
      <c r="F79" s="69"/>
      <c r="G79" s="70"/>
      <c r="H79" s="70"/>
      <c r="I79" s="69"/>
      <c r="J79" s="69"/>
      <c r="K79" s="77" t="s">
        <v>77</v>
      </c>
      <c r="M79" s="76">
        <v>5</v>
      </c>
      <c r="N79" s="3" t="s">
        <v>68</v>
      </c>
      <c r="O79" s="3" t="s">
        <v>75</v>
      </c>
      <c r="P79" s="3">
        <v>54</v>
      </c>
      <c r="Q79" s="14">
        <f>8314+1474+1983</f>
        <v>11771</v>
      </c>
      <c r="R79" s="14">
        <f>9009+1637+2205</f>
        <v>12851</v>
      </c>
      <c r="S79" s="14">
        <v>1080</v>
      </c>
      <c r="T79" s="11">
        <v>4971035</v>
      </c>
      <c r="U79" s="14">
        <v>447393</v>
      </c>
      <c r="V79" s="81">
        <v>5914000</v>
      </c>
    </row>
  </sheetData>
  <mergeCells count="161">
    <mergeCell ref="B12:K12"/>
    <mergeCell ref="B13:B14"/>
    <mergeCell ref="C13:C14"/>
    <mergeCell ref="D13:D14"/>
    <mergeCell ref="E13:E14"/>
    <mergeCell ref="F13:F14"/>
    <mergeCell ref="G13:G14"/>
    <mergeCell ref="H13:H14"/>
    <mergeCell ref="I13:I14"/>
    <mergeCell ref="K13:K14"/>
    <mergeCell ref="A3:A4"/>
    <mergeCell ref="F3:F4"/>
    <mergeCell ref="G3:G4"/>
    <mergeCell ref="K3:K4"/>
    <mergeCell ref="D3:D4"/>
    <mergeCell ref="H3:H4"/>
    <mergeCell ref="B2:K2"/>
    <mergeCell ref="B3:B4"/>
    <mergeCell ref="C3:C4"/>
    <mergeCell ref="E3:E4"/>
    <mergeCell ref="I3:I4"/>
    <mergeCell ref="B22:K22"/>
    <mergeCell ref="B23:B24"/>
    <mergeCell ref="C23:C24"/>
    <mergeCell ref="D23:D24"/>
    <mergeCell ref="E23:E24"/>
    <mergeCell ref="F23:F24"/>
    <mergeCell ref="G23:G24"/>
    <mergeCell ref="H23:H24"/>
    <mergeCell ref="I23:I24"/>
    <mergeCell ref="K23:K24"/>
    <mergeCell ref="B32:K32"/>
    <mergeCell ref="B33:B34"/>
    <mergeCell ref="C33:C34"/>
    <mergeCell ref="D33:D34"/>
    <mergeCell ref="E33:E34"/>
    <mergeCell ref="F33:F34"/>
    <mergeCell ref="G33:G34"/>
    <mergeCell ref="H33:H34"/>
    <mergeCell ref="I33:I34"/>
    <mergeCell ref="K33:K34"/>
    <mergeCell ref="B42:K42"/>
    <mergeCell ref="B43:B44"/>
    <mergeCell ref="C43:C44"/>
    <mergeCell ref="D43:D44"/>
    <mergeCell ref="E43:E44"/>
    <mergeCell ref="F43:F44"/>
    <mergeCell ref="G43:G44"/>
    <mergeCell ref="H43:H44"/>
    <mergeCell ref="I43:I44"/>
    <mergeCell ref="K43:K44"/>
    <mergeCell ref="B52:K52"/>
    <mergeCell ref="B53:B54"/>
    <mergeCell ref="C53:C54"/>
    <mergeCell ref="D53:D54"/>
    <mergeCell ref="E53:E54"/>
    <mergeCell ref="F53:F54"/>
    <mergeCell ref="G53:G54"/>
    <mergeCell ref="H53:H54"/>
    <mergeCell ref="I53:I54"/>
    <mergeCell ref="K53:K54"/>
    <mergeCell ref="B62:K62"/>
    <mergeCell ref="B63:B64"/>
    <mergeCell ref="C63:C64"/>
    <mergeCell ref="D63:D64"/>
    <mergeCell ref="E63:E64"/>
    <mergeCell ref="F63:F64"/>
    <mergeCell ref="G63:G64"/>
    <mergeCell ref="H63:H64"/>
    <mergeCell ref="I63:I64"/>
    <mergeCell ref="K63:K64"/>
    <mergeCell ref="B72:K72"/>
    <mergeCell ref="B73:B74"/>
    <mergeCell ref="C73:C74"/>
    <mergeCell ref="D73:D74"/>
    <mergeCell ref="E73:E74"/>
    <mergeCell ref="F73:F74"/>
    <mergeCell ref="G73:G74"/>
    <mergeCell ref="H73:H74"/>
    <mergeCell ref="I73:I74"/>
    <mergeCell ref="K73:K74"/>
    <mergeCell ref="M32:V32"/>
    <mergeCell ref="M33:M34"/>
    <mergeCell ref="N33:N34"/>
    <mergeCell ref="O33:O34"/>
    <mergeCell ref="P33:P34"/>
    <mergeCell ref="Q33:Q34"/>
    <mergeCell ref="R33:R34"/>
    <mergeCell ref="S33:S34"/>
    <mergeCell ref="T33:T34"/>
    <mergeCell ref="V33:V34"/>
    <mergeCell ref="M2:V2"/>
    <mergeCell ref="M3:M4"/>
    <mergeCell ref="N3:N4"/>
    <mergeCell ref="O3:O4"/>
    <mergeCell ref="P3:P4"/>
    <mergeCell ref="Q3:Q4"/>
    <mergeCell ref="R3:R4"/>
    <mergeCell ref="S3:S4"/>
    <mergeCell ref="T3:T4"/>
    <mergeCell ref="V3:V4"/>
    <mergeCell ref="M12:V12"/>
    <mergeCell ref="M13:M14"/>
    <mergeCell ref="N13:N14"/>
    <mergeCell ref="O13:O14"/>
    <mergeCell ref="P13:P14"/>
    <mergeCell ref="Q13:Q14"/>
    <mergeCell ref="R13:R14"/>
    <mergeCell ref="S13:S14"/>
    <mergeCell ref="T13:T14"/>
    <mergeCell ref="V13:V14"/>
    <mergeCell ref="M22:V22"/>
    <mergeCell ref="M23:M24"/>
    <mergeCell ref="N23:N24"/>
    <mergeCell ref="O23:O24"/>
    <mergeCell ref="P23:P24"/>
    <mergeCell ref="Q23:Q24"/>
    <mergeCell ref="R23:R24"/>
    <mergeCell ref="S23:S24"/>
    <mergeCell ref="T23:T24"/>
    <mergeCell ref="V23:V24"/>
    <mergeCell ref="M42:V42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M52:V52"/>
    <mergeCell ref="M53:M54"/>
    <mergeCell ref="N53:N54"/>
    <mergeCell ref="O53:O54"/>
    <mergeCell ref="P53:P54"/>
    <mergeCell ref="Q53:Q54"/>
    <mergeCell ref="R53:R54"/>
    <mergeCell ref="S53:S54"/>
    <mergeCell ref="T53:T54"/>
    <mergeCell ref="V53:V54"/>
    <mergeCell ref="M62:V62"/>
    <mergeCell ref="M63:M64"/>
    <mergeCell ref="N63:N64"/>
    <mergeCell ref="O63:O64"/>
    <mergeCell ref="P63:P64"/>
    <mergeCell ref="Q63:Q64"/>
    <mergeCell ref="R63:R64"/>
    <mergeCell ref="S63:S64"/>
    <mergeCell ref="T63:T64"/>
    <mergeCell ref="V63:V64"/>
    <mergeCell ref="M72:V72"/>
    <mergeCell ref="M73:M74"/>
    <mergeCell ref="N73:N74"/>
    <mergeCell ref="O73:O74"/>
    <mergeCell ref="P73:P74"/>
    <mergeCell ref="Q73:Q74"/>
    <mergeCell ref="R73:R74"/>
    <mergeCell ref="S73:S74"/>
    <mergeCell ref="T73:T74"/>
    <mergeCell ref="V73:V7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rowBreaks count="2" manualBreakCount="2">
    <brk id="30" max="24" man="1"/>
    <brk id="60" max="24" man="1"/>
  </rowBreaks>
  <ignoredErrors>
    <ignoredError sqref="F25:G25 G35:G38 F35:F38 F26:F27 G26:G27 F15:F17 G15:G17 F5:F7 G5:G6 F47:F48 F45:F46 G45:G47 F56:F58 G55:G58 F65:G66 F67:F68 F75:F78 G75:G78 G67:G68 G7:G8 R37:R38 Q38 R77:R78 Q78 R5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2767B-D364-419F-8AF9-A8BB790FAC21}">
  <sheetPr>
    <pageSetUpPr fitToPage="1"/>
  </sheetPr>
  <dimension ref="B1:U14"/>
  <sheetViews>
    <sheetView rightToLeft="1" view="pageBreakPreview" zoomScale="130" zoomScaleNormal="100" zoomScaleSheetLayoutView="130" workbookViewId="0">
      <selection activeCell="A10" sqref="A10"/>
    </sheetView>
  </sheetViews>
  <sheetFormatPr defaultColWidth="9" defaultRowHeight="42.75" customHeight="1" x14ac:dyDescent="0.25"/>
  <cols>
    <col min="1" max="1" width="2.42578125" style="4" customWidth="1"/>
    <col min="2" max="2" width="5.140625" style="4" customWidth="1"/>
    <col min="3" max="3" width="18" style="4" customWidth="1"/>
    <col min="4" max="4" width="8.85546875" style="4" customWidth="1"/>
    <col min="5" max="5" width="6" style="4" customWidth="1"/>
    <col min="6" max="6" width="9.42578125" style="4" customWidth="1"/>
    <col min="7" max="7" width="16.5703125" style="4" customWidth="1"/>
    <col min="8" max="8" width="7.7109375" style="4" customWidth="1"/>
    <col min="9" max="9" width="9.7109375" style="6" customWidth="1"/>
    <col min="10" max="10" width="12" style="4" customWidth="1"/>
    <col min="11" max="11" width="14.7109375" style="4" customWidth="1"/>
    <col min="12" max="12" width="12.140625" style="4" customWidth="1"/>
    <col min="13" max="13" width="13.140625" style="4" customWidth="1"/>
    <col min="14" max="14" width="11.140625" style="4" customWidth="1"/>
    <col min="15" max="15" width="7.42578125" style="4" customWidth="1"/>
    <col min="16" max="16" width="10.5703125" style="4" customWidth="1"/>
    <col min="17" max="17" width="15.85546875" style="4" customWidth="1"/>
    <col min="18" max="19" width="8.140625" style="4" customWidth="1"/>
    <col min="20" max="20" width="8.42578125" style="2" customWidth="1"/>
    <col min="21" max="21" width="11.85546875" style="4" customWidth="1"/>
    <col min="22" max="16384" width="9" style="4"/>
  </cols>
  <sheetData>
    <row r="1" spans="2:21" s="2" customFormat="1" ht="28.5" customHeight="1" x14ac:dyDescent="0.25">
      <c r="B1" s="41" t="s">
        <v>4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2:21" s="2" customFormat="1" ht="15.75" customHeight="1" x14ac:dyDescent="0.25">
      <c r="B2" s="30" t="s">
        <v>0</v>
      </c>
      <c r="C2" s="30" t="s">
        <v>3</v>
      </c>
      <c r="D2" s="30" t="s">
        <v>6</v>
      </c>
      <c r="E2" s="30" t="s">
        <v>1</v>
      </c>
      <c r="F2" s="30" t="s">
        <v>7</v>
      </c>
      <c r="G2" s="30" t="s">
        <v>8</v>
      </c>
      <c r="H2" s="30" t="s">
        <v>9</v>
      </c>
      <c r="I2" s="68" t="s">
        <v>10</v>
      </c>
      <c r="J2" s="30" t="s">
        <v>11</v>
      </c>
      <c r="K2" s="1" t="s">
        <v>21</v>
      </c>
      <c r="L2" s="52" t="s">
        <v>22</v>
      </c>
      <c r="M2" s="35" t="s">
        <v>23</v>
      </c>
      <c r="N2" s="53" t="s">
        <v>26</v>
      </c>
      <c r="O2" s="52" t="s">
        <v>24</v>
      </c>
      <c r="P2" s="52" t="s">
        <v>25</v>
      </c>
      <c r="Q2" s="15" t="s">
        <v>2</v>
      </c>
      <c r="R2" s="35" t="s">
        <v>28</v>
      </c>
      <c r="S2" s="31" t="s">
        <v>29</v>
      </c>
      <c r="T2" s="31" t="s">
        <v>30</v>
      </c>
      <c r="U2" s="31" t="s">
        <v>31</v>
      </c>
    </row>
    <row r="3" spans="2:21" s="8" customFormat="1" ht="16.5" customHeight="1" x14ac:dyDescent="0.25">
      <c r="B3" s="30"/>
      <c r="C3" s="30"/>
      <c r="D3" s="30"/>
      <c r="E3" s="30"/>
      <c r="F3" s="30"/>
      <c r="G3" s="30"/>
      <c r="H3" s="30"/>
      <c r="I3" s="68"/>
      <c r="J3" s="30"/>
      <c r="K3" s="16" t="s">
        <v>19</v>
      </c>
      <c r="L3" s="52"/>
      <c r="M3" s="36"/>
      <c r="N3" s="53"/>
      <c r="O3" s="52"/>
      <c r="P3" s="52"/>
      <c r="Q3" s="17" t="s">
        <v>27</v>
      </c>
      <c r="R3" s="36"/>
      <c r="S3" s="32"/>
      <c r="T3" s="32"/>
      <c r="U3" s="32"/>
    </row>
    <row r="4" spans="2:21" ht="28.5" customHeight="1" x14ac:dyDescent="0.25">
      <c r="B4" s="57">
        <v>1</v>
      </c>
      <c r="C4" s="58" t="s">
        <v>5</v>
      </c>
      <c r="D4" s="61">
        <v>1146105</v>
      </c>
      <c r="E4" s="61">
        <v>84</v>
      </c>
      <c r="F4" s="62">
        <v>1963</v>
      </c>
      <c r="G4" s="3" t="s">
        <v>12</v>
      </c>
      <c r="H4" s="3">
        <v>5310</v>
      </c>
      <c r="I4" s="10">
        <v>100</v>
      </c>
      <c r="J4" s="11">
        <f t="shared" ref="J4:J10" si="0">H4*I4</f>
        <v>531000</v>
      </c>
      <c r="K4" s="54">
        <f>J11/30*43</f>
        <v>6578239.6166666672</v>
      </c>
      <c r="L4" s="43">
        <v>4500421</v>
      </c>
      <c r="M4" s="43">
        <v>166308</v>
      </c>
      <c r="N4" s="43">
        <v>34535</v>
      </c>
      <c r="O4" s="43">
        <v>18051</v>
      </c>
      <c r="P4" s="43">
        <f>K4+L4+M4+O4-N4</f>
        <v>11228484.616666667</v>
      </c>
      <c r="Q4" s="43">
        <v>1010565</v>
      </c>
      <c r="R4" s="43">
        <v>27998</v>
      </c>
      <c r="S4" s="43">
        <v>1119437</v>
      </c>
      <c r="T4" s="46">
        <v>3899008</v>
      </c>
      <c r="U4" s="49">
        <f>P4+Q4+R4+S4-T4</f>
        <v>9487476.6166666672</v>
      </c>
    </row>
    <row r="5" spans="2:21" ht="28.5" customHeight="1" x14ac:dyDescent="0.25">
      <c r="B5" s="57"/>
      <c r="C5" s="59"/>
      <c r="D5" s="50"/>
      <c r="E5" s="50"/>
      <c r="F5" s="63"/>
      <c r="G5" s="3" t="s">
        <v>13</v>
      </c>
      <c r="H5" s="3">
        <v>5531</v>
      </c>
      <c r="I5" s="10">
        <v>100</v>
      </c>
      <c r="J5" s="11">
        <f t="shared" si="0"/>
        <v>553100</v>
      </c>
      <c r="K5" s="55"/>
      <c r="L5" s="44"/>
      <c r="M5" s="44"/>
      <c r="N5" s="44"/>
      <c r="O5" s="44"/>
      <c r="P5" s="44"/>
      <c r="Q5" s="44"/>
      <c r="R5" s="44"/>
      <c r="S5" s="44"/>
      <c r="T5" s="47"/>
      <c r="U5" s="50"/>
    </row>
    <row r="6" spans="2:21" ht="28.5" customHeight="1" x14ac:dyDescent="0.25">
      <c r="B6" s="57"/>
      <c r="C6" s="59"/>
      <c r="D6" s="50"/>
      <c r="E6" s="50"/>
      <c r="F6" s="63"/>
      <c r="G6" s="3" t="s">
        <v>14</v>
      </c>
      <c r="H6" s="3">
        <v>5753</v>
      </c>
      <c r="I6" s="10">
        <v>100</v>
      </c>
      <c r="J6" s="11">
        <f t="shared" si="0"/>
        <v>575300</v>
      </c>
      <c r="K6" s="55"/>
      <c r="L6" s="44"/>
      <c r="M6" s="44"/>
      <c r="N6" s="44"/>
      <c r="O6" s="44"/>
      <c r="P6" s="44"/>
      <c r="Q6" s="44"/>
      <c r="R6" s="44"/>
      <c r="S6" s="44"/>
      <c r="T6" s="47"/>
      <c r="U6" s="50"/>
    </row>
    <row r="7" spans="2:21" ht="28.5" customHeight="1" x14ac:dyDescent="0.25">
      <c r="B7" s="57"/>
      <c r="C7" s="59"/>
      <c r="D7" s="50"/>
      <c r="E7" s="50"/>
      <c r="F7" s="63"/>
      <c r="G7" s="3" t="s">
        <v>15</v>
      </c>
      <c r="H7" s="3">
        <v>5974</v>
      </c>
      <c r="I7" s="10">
        <v>100</v>
      </c>
      <c r="J7" s="11">
        <f t="shared" si="0"/>
        <v>597400</v>
      </c>
      <c r="K7" s="55"/>
      <c r="L7" s="44"/>
      <c r="M7" s="44"/>
      <c r="N7" s="44"/>
      <c r="O7" s="44"/>
      <c r="P7" s="44"/>
      <c r="Q7" s="44"/>
      <c r="R7" s="44"/>
      <c r="S7" s="44"/>
      <c r="T7" s="47"/>
      <c r="U7" s="50"/>
    </row>
    <row r="8" spans="2:21" ht="28.5" customHeight="1" x14ac:dyDescent="0.25">
      <c r="B8" s="57"/>
      <c r="C8" s="59"/>
      <c r="D8" s="50"/>
      <c r="E8" s="50"/>
      <c r="F8" s="63"/>
      <c r="G8" s="3" t="s">
        <v>16</v>
      </c>
      <c r="H8" s="3">
        <v>6638</v>
      </c>
      <c r="I8" s="10">
        <v>100</v>
      </c>
      <c r="J8" s="11">
        <f t="shared" si="0"/>
        <v>663800</v>
      </c>
      <c r="K8" s="55"/>
      <c r="L8" s="44"/>
      <c r="M8" s="44"/>
      <c r="N8" s="44"/>
      <c r="O8" s="44"/>
      <c r="P8" s="44"/>
      <c r="Q8" s="44"/>
      <c r="R8" s="44"/>
      <c r="S8" s="44"/>
      <c r="T8" s="47"/>
      <c r="U8" s="50"/>
    </row>
    <row r="9" spans="2:21" ht="28.5" customHeight="1" x14ac:dyDescent="0.25">
      <c r="B9" s="57"/>
      <c r="C9" s="59"/>
      <c r="D9" s="50"/>
      <c r="E9" s="50"/>
      <c r="F9" s="63"/>
      <c r="G9" s="3" t="s">
        <v>17</v>
      </c>
      <c r="H9" s="5">
        <v>7744</v>
      </c>
      <c r="I9" s="10">
        <v>100</v>
      </c>
      <c r="J9" s="11">
        <f t="shared" si="0"/>
        <v>774400</v>
      </c>
      <c r="K9" s="55"/>
      <c r="L9" s="44"/>
      <c r="M9" s="44"/>
      <c r="N9" s="44"/>
      <c r="O9" s="44"/>
      <c r="P9" s="44"/>
      <c r="Q9" s="44"/>
      <c r="R9" s="44"/>
      <c r="S9" s="44"/>
      <c r="T9" s="47"/>
      <c r="U9" s="50"/>
    </row>
    <row r="10" spans="2:21" ht="27.75" customHeight="1" x14ac:dyDescent="0.25">
      <c r="B10" s="57"/>
      <c r="C10" s="60"/>
      <c r="D10" s="51"/>
      <c r="E10" s="51"/>
      <c r="F10" s="64"/>
      <c r="G10" s="3" t="s">
        <v>18</v>
      </c>
      <c r="H10" s="3">
        <v>8850</v>
      </c>
      <c r="I10" s="12">
        <v>101.07</v>
      </c>
      <c r="J10" s="11">
        <f t="shared" si="0"/>
        <v>894469.49999999988</v>
      </c>
      <c r="K10" s="56"/>
      <c r="L10" s="45"/>
      <c r="M10" s="45"/>
      <c r="N10" s="45"/>
      <c r="O10" s="45"/>
      <c r="P10" s="45"/>
      <c r="Q10" s="45"/>
      <c r="R10" s="45"/>
      <c r="S10" s="45"/>
      <c r="T10" s="48"/>
      <c r="U10" s="51"/>
    </row>
    <row r="11" spans="2:21" ht="27" customHeight="1" x14ac:dyDescent="0.25">
      <c r="B11" s="57"/>
      <c r="C11" s="65" t="s">
        <v>20</v>
      </c>
      <c r="D11" s="66"/>
      <c r="E11" s="66"/>
      <c r="F11" s="66"/>
      <c r="G11" s="66"/>
      <c r="H11" s="66"/>
      <c r="I11" s="67"/>
      <c r="J11" s="11">
        <f>SUM(J4:J10)</f>
        <v>4589469.5</v>
      </c>
      <c r="K11" s="38"/>
      <c r="L11" s="39"/>
      <c r="M11" s="39"/>
      <c r="N11" s="39"/>
      <c r="O11" s="39"/>
      <c r="P11" s="39"/>
      <c r="Q11" s="39"/>
      <c r="R11" s="39"/>
      <c r="S11" s="39"/>
      <c r="T11" s="39"/>
      <c r="U11" s="40"/>
    </row>
    <row r="12" spans="2:21" ht="5.25" customHeight="1" x14ac:dyDescent="0.25"/>
    <row r="14" spans="2:21" ht="42.75" customHeight="1" x14ac:dyDescent="0.25">
      <c r="I14" s="7"/>
    </row>
  </sheetData>
  <mergeCells count="37">
    <mergeCell ref="B4:B11"/>
    <mergeCell ref="C2:C3"/>
    <mergeCell ref="D2:D3"/>
    <mergeCell ref="E2:E3"/>
    <mergeCell ref="F2:F3"/>
    <mergeCell ref="C4:C10"/>
    <mergeCell ref="D4:D10"/>
    <mergeCell ref="E4:E10"/>
    <mergeCell ref="F4:F10"/>
    <mergeCell ref="C11:I11"/>
    <mergeCell ref="H2:H3"/>
    <mergeCell ref="I2:I3"/>
    <mergeCell ref="B2:B3"/>
    <mergeCell ref="J2:J3"/>
    <mergeCell ref="L2:L3"/>
    <mergeCell ref="G2:G3"/>
    <mergeCell ref="N2:N3"/>
    <mergeCell ref="K4:K10"/>
    <mergeCell ref="L4:L10"/>
    <mergeCell ref="M4:M10"/>
    <mergeCell ref="N4:N10"/>
    <mergeCell ref="K11:U11"/>
    <mergeCell ref="S2:S3"/>
    <mergeCell ref="B1:U1"/>
    <mergeCell ref="R2:R3"/>
    <mergeCell ref="R4:R10"/>
    <mergeCell ref="S4:S10"/>
    <mergeCell ref="T2:T3"/>
    <mergeCell ref="U2:U3"/>
    <mergeCell ref="T4:T10"/>
    <mergeCell ref="U4:U10"/>
    <mergeCell ref="O2:O3"/>
    <mergeCell ref="O4:O10"/>
    <mergeCell ref="P2:P3"/>
    <mergeCell ref="P4:P10"/>
    <mergeCell ref="Q4:Q10"/>
    <mergeCell ref="M2:M3"/>
  </mergeCells>
  <pageMargins left="0.70866141732283505" right="0.70866141732283505" top="0.74803149606299202" bottom="0.74803149606299202" header="0.31496062992126" footer="0.31496062992126"/>
  <pageSetup paperSize="9" scale="60" orientation="landscape" r:id="rId1"/>
  <ignoredErrors>
    <ignoredError sqref="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شماره کنتور  </vt:lpstr>
      <vt:lpstr>(قبلی -شماره کنتور 1146105</vt:lpstr>
      <vt:lpstr>'(قبلی -شماره کنتور 1146105'!Print_Area</vt:lpstr>
      <vt:lpstr>'شماره کنتور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Rouhi</dc:creator>
  <cp:lastModifiedBy>Sepideh Japalaghi</cp:lastModifiedBy>
  <cp:lastPrinted>2023-11-18T11:30:15Z</cp:lastPrinted>
  <dcterms:created xsi:type="dcterms:W3CDTF">2023-08-07T10:41:17Z</dcterms:created>
  <dcterms:modified xsi:type="dcterms:W3CDTF">2023-11-18T11:34:46Z</dcterms:modified>
</cp:coreProperties>
</file>