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عایق\"/>
    </mc:Choice>
  </mc:AlternateContent>
  <xr:revisionPtr revIDLastSave="0" documentId="13_ncr:1_{A97C5FB6-60B5-494E-BFBC-2FFDC0E5D63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کنترل قرارداد (1)" sheetId="3" r:id="rId1"/>
    <sheet name="کنترل قرارداد (2)" sheetId="4" r:id="rId2"/>
    <sheet name="کنترل قرارداد (3&amp;4)" sheetId="5" r:id="rId3"/>
    <sheet name="کنترل قرارداد (5)" sheetId="7" r:id="rId4"/>
    <sheet name="کنترل قرارداد (6)" sheetId="8" r:id="rId5"/>
    <sheet name="کنترل قرارداد (7)" sheetId="9" r:id="rId6"/>
    <sheet name="Packing List Items" sheetId="1" r:id="rId7"/>
    <sheet name="ریز آیتم ها" sheetId="2" r:id="rId8"/>
    <sheet name="Sheet1" sheetId="6" r:id="rId9"/>
  </sheets>
  <definedNames>
    <definedName name="_xlnm._FilterDatabase" localSheetId="6" hidden="1">'Packing List Items'!$A$1:$Z$211</definedName>
    <definedName name="_xlnm._FilterDatabase" localSheetId="7" hidden="1">'ریز آیتم ها'!$A$1:$O$86</definedName>
    <definedName name="_xlnm._FilterDatabase" localSheetId="0" hidden="1">'کنترل قرارداد (1)'!$A$5:$P$90</definedName>
    <definedName name="_xlnm._FilterDatabase" localSheetId="1" hidden="1">'کنترل قرارداد (2)'!$A$5:$R$90</definedName>
    <definedName name="_xlnm._FilterDatabase" localSheetId="2" hidden="1">'کنترل قرارداد (3&amp;4)'!$A$5:$R$90</definedName>
    <definedName name="_xlnm._FilterDatabase" localSheetId="3" hidden="1">'کنترل قرارداد (5)'!$A$5:$S$90</definedName>
    <definedName name="_xlnm._FilterDatabase" localSheetId="4" hidden="1">'کنترل قرارداد (6)'!$A$5:$T$90</definedName>
    <definedName name="_xlnm._FilterDatabase" localSheetId="5" hidden="1">'کنترل قرارداد (7)'!$A$5:$T$90</definedName>
    <definedName name="_xlnm.Print_Area" localSheetId="6">'Packing List Items'!$A$1:$V$170</definedName>
    <definedName name="_xlnm.Print_Area" localSheetId="0">'کنترل قرارداد (1)'!$A$1:$M$105</definedName>
    <definedName name="_xlnm.Print_Area" localSheetId="1">'کنترل قرارداد (2)'!$A$1:$O$107</definedName>
    <definedName name="_xlnm.Print_Area" localSheetId="2">'کنترل قرارداد (3&amp;4)'!$A$1:$R$115</definedName>
    <definedName name="_xlnm.Print_Area" localSheetId="3">'کنترل قرارداد (5)'!$A$1:$S$111</definedName>
    <definedName name="_xlnm.Print_Area" localSheetId="4">'کنترل قرارداد (6)'!$A$1:$T$113</definedName>
    <definedName name="_xlnm.Print_Area" localSheetId="5">'کنترل قرارداد (7)'!$A$1:$T$111</definedName>
    <definedName name="_xlnm.Print_Titles" localSheetId="0">'کنترل قرارداد (1)'!$1:$5</definedName>
    <definedName name="_xlnm.Print_Titles" localSheetId="1">'کنترل قرارداد (2)'!$1:$5</definedName>
    <definedName name="_xlnm.Print_Titles" localSheetId="2">'کنترل قرارداد (3&amp;4)'!$1:$5</definedName>
    <definedName name="_xlnm.Print_Titles" localSheetId="3">'کنترل قرارداد (5)'!$1:$5</definedName>
    <definedName name="_xlnm.Print_Titles" localSheetId="4">'کنترل قرارداد (6)'!$1:$5</definedName>
    <definedName name="_xlnm.Print_Titles" localSheetId="5">'کنترل قرارداد (7)'!$1:$5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8" l="1"/>
  <c r="N49" i="7"/>
  <c r="F37" i="8" l="1"/>
  <c r="F35" i="8"/>
  <c r="F60" i="8"/>
  <c r="F53" i="8"/>
  <c r="F42" i="8"/>
  <c r="F84" i="8"/>
  <c r="F63" i="8"/>
  <c r="F62" i="8"/>
  <c r="F61" i="8"/>
  <c r="F57" i="8"/>
  <c r="F47" i="8"/>
  <c r="F54" i="8"/>
  <c r="M44" i="9"/>
  <c r="M44" i="8" l="1"/>
  <c r="U35" i="8"/>
  <c r="F48" i="8"/>
  <c r="F46" i="8"/>
  <c r="F43" i="8"/>
  <c r="F59" i="8"/>
  <c r="F34" i="8"/>
  <c r="F31" i="8"/>
  <c r="F40" i="8"/>
  <c r="P31" i="8"/>
  <c r="F53" i="5"/>
  <c r="F59" i="5"/>
  <c r="F48" i="5"/>
  <c r="F46" i="5"/>
  <c r="F43" i="5"/>
  <c r="F37" i="5"/>
  <c r="F43" i="9"/>
  <c r="F48" i="9"/>
  <c r="F46" i="9"/>
  <c r="F47" i="9"/>
  <c r="F40" i="9"/>
  <c r="F34" i="9"/>
  <c r="F59" i="9"/>
  <c r="F53" i="9"/>
  <c r="F63" i="9"/>
  <c r="F62" i="9"/>
  <c r="F61" i="9"/>
  <c r="F41" i="9"/>
  <c r="F54" i="9"/>
  <c r="F37" i="9"/>
  <c r="F35" i="9"/>
  <c r="F31" i="9"/>
  <c r="P31" i="9"/>
  <c r="J92" i="9" l="1"/>
  <c r="F92" i="9"/>
  <c r="P90" i="9"/>
  <c r="R90" i="9" s="1"/>
  <c r="H90" i="9"/>
  <c r="P89" i="9"/>
  <c r="T89" i="9" s="1"/>
  <c r="H89" i="9"/>
  <c r="P88" i="9"/>
  <c r="R88" i="9" s="1"/>
  <c r="H88" i="9"/>
  <c r="P87" i="9"/>
  <c r="Q87" i="9" s="1"/>
  <c r="H87" i="9"/>
  <c r="P86" i="9"/>
  <c r="R86" i="9" s="1"/>
  <c r="H86" i="9"/>
  <c r="P85" i="9"/>
  <c r="T85" i="9" s="1"/>
  <c r="H85" i="9"/>
  <c r="P84" i="9"/>
  <c r="R84" i="9" s="1"/>
  <c r="H84" i="9"/>
  <c r="P83" i="9"/>
  <c r="Q83" i="9" s="1"/>
  <c r="H83" i="9"/>
  <c r="P82" i="9"/>
  <c r="R82" i="9" s="1"/>
  <c r="H82" i="9"/>
  <c r="P81" i="9"/>
  <c r="T81" i="9" s="1"/>
  <c r="H81" i="9"/>
  <c r="P80" i="9"/>
  <c r="R80" i="9" s="1"/>
  <c r="H80" i="9"/>
  <c r="P79" i="9"/>
  <c r="Q79" i="9" s="1"/>
  <c r="H79" i="9"/>
  <c r="P78" i="9"/>
  <c r="R78" i="9" s="1"/>
  <c r="H78" i="9"/>
  <c r="P77" i="9"/>
  <c r="T77" i="9" s="1"/>
  <c r="H77" i="9"/>
  <c r="P76" i="9"/>
  <c r="R76" i="9" s="1"/>
  <c r="H76" i="9"/>
  <c r="P75" i="9"/>
  <c r="Q75" i="9" s="1"/>
  <c r="H75" i="9"/>
  <c r="K74" i="9"/>
  <c r="P74" i="9" s="1"/>
  <c r="H74" i="9"/>
  <c r="P73" i="9"/>
  <c r="T73" i="9" s="1"/>
  <c r="H73" i="9"/>
  <c r="P72" i="9"/>
  <c r="Q72" i="9" s="1"/>
  <c r="H72" i="9"/>
  <c r="P71" i="9"/>
  <c r="R71" i="9" s="1"/>
  <c r="H71" i="9"/>
  <c r="P70" i="9"/>
  <c r="T70" i="9" s="1"/>
  <c r="H70" i="9"/>
  <c r="P69" i="9"/>
  <c r="T69" i="9" s="1"/>
  <c r="H69" i="9"/>
  <c r="P68" i="9"/>
  <c r="Q68" i="9" s="1"/>
  <c r="H68" i="9"/>
  <c r="P67" i="9"/>
  <c r="R67" i="9" s="1"/>
  <c r="H67" i="9"/>
  <c r="P66" i="9"/>
  <c r="T66" i="9" s="1"/>
  <c r="H66" i="9"/>
  <c r="P65" i="9"/>
  <c r="T65" i="9" s="1"/>
  <c r="H65" i="9"/>
  <c r="P64" i="9"/>
  <c r="Q64" i="9" s="1"/>
  <c r="H64" i="9"/>
  <c r="O63" i="9"/>
  <c r="P63" i="9" s="1"/>
  <c r="H63" i="9"/>
  <c r="O62" i="9"/>
  <c r="P62" i="9" s="1"/>
  <c r="H62" i="9"/>
  <c r="O61" i="9"/>
  <c r="P61" i="9" s="1"/>
  <c r="H61" i="9"/>
  <c r="K60" i="9"/>
  <c r="P60" i="9" s="1"/>
  <c r="H60" i="9"/>
  <c r="P59" i="9"/>
  <c r="R59" i="9" s="1"/>
  <c r="H59" i="9"/>
  <c r="P58" i="9"/>
  <c r="T58" i="9" s="1"/>
  <c r="H58" i="9"/>
  <c r="K57" i="9"/>
  <c r="P57" i="9" s="1"/>
  <c r="H57" i="9"/>
  <c r="P56" i="9"/>
  <c r="R56" i="9" s="1"/>
  <c r="H56" i="9"/>
  <c r="K55" i="9"/>
  <c r="P55" i="9" s="1"/>
  <c r="T55" i="9" s="1"/>
  <c r="H55" i="9"/>
  <c r="K54" i="9"/>
  <c r="P54" i="9" s="1"/>
  <c r="H54" i="9"/>
  <c r="M53" i="9"/>
  <c r="K53" i="9"/>
  <c r="H53" i="9"/>
  <c r="P52" i="9"/>
  <c r="R52" i="9" s="1"/>
  <c r="H52" i="9"/>
  <c r="P51" i="9"/>
  <c r="T51" i="9" s="1"/>
  <c r="H51" i="9"/>
  <c r="P50" i="9"/>
  <c r="T50" i="9" s="1"/>
  <c r="H50" i="9"/>
  <c r="N49" i="9"/>
  <c r="H49" i="9"/>
  <c r="P48" i="9"/>
  <c r="H48" i="9"/>
  <c r="P47" i="9"/>
  <c r="T47" i="9" s="1"/>
  <c r="H47" i="9"/>
  <c r="P46" i="9"/>
  <c r="Q46" i="9" s="1"/>
  <c r="H46" i="9"/>
  <c r="P45" i="9"/>
  <c r="R45" i="9" s="1"/>
  <c r="H45" i="9"/>
  <c r="P44" i="9"/>
  <c r="T44" i="9" s="1"/>
  <c r="H44" i="9"/>
  <c r="M43" i="9"/>
  <c r="P43" i="9" s="1"/>
  <c r="H43" i="9"/>
  <c r="P42" i="9"/>
  <c r="T42" i="9" s="1"/>
  <c r="H42" i="9"/>
  <c r="P41" i="9"/>
  <c r="T41" i="9" s="1"/>
  <c r="H41" i="9"/>
  <c r="P40" i="9"/>
  <c r="Q40" i="9" s="1"/>
  <c r="H40" i="9"/>
  <c r="M39" i="9"/>
  <c r="P39" i="9" s="1"/>
  <c r="H39" i="9"/>
  <c r="M38" i="9"/>
  <c r="P38" i="9" s="1"/>
  <c r="H38" i="9"/>
  <c r="N37" i="9"/>
  <c r="U37" i="9" s="1"/>
  <c r="L37" i="9"/>
  <c r="H37" i="9"/>
  <c r="P36" i="9"/>
  <c r="Q36" i="9" s="1"/>
  <c r="H36" i="9"/>
  <c r="P35" i="9"/>
  <c r="R35" i="9" s="1"/>
  <c r="H35" i="9"/>
  <c r="P34" i="9"/>
  <c r="T34" i="9" s="1"/>
  <c r="H34" i="9"/>
  <c r="P33" i="9"/>
  <c r="T33" i="9" s="1"/>
  <c r="H33" i="9"/>
  <c r="P32" i="9"/>
  <c r="Q32" i="9" s="1"/>
  <c r="H32" i="9"/>
  <c r="R31" i="9"/>
  <c r="H31" i="9"/>
  <c r="O30" i="9"/>
  <c r="M30" i="9"/>
  <c r="H30" i="9"/>
  <c r="P29" i="9"/>
  <c r="R29" i="9" s="1"/>
  <c r="H29" i="9"/>
  <c r="P28" i="9"/>
  <c r="T28" i="9" s="1"/>
  <c r="H28" i="9"/>
  <c r="P27" i="9"/>
  <c r="Q27" i="9" s="1"/>
  <c r="H27" i="9"/>
  <c r="O26" i="9"/>
  <c r="L26" i="9"/>
  <c r="H26" i="9"/>
  <c r="O25" i="9"/>
  <c r="L25" i="9"/>
  <c r="H25" i="9"/>
  <c r="P24" i="9"/>
  <c r="T24" i="9" s="1"/>
  <c r="H24" i="9"/>
  <c r="P23" i="9"/>
  <c r="T23" i="9" s="1"/>
  <c r="H23" i="9"/>
  <c r="M22" i="9"/>
  <c r="P22" i="9" s="1"/>
  <c r="H22" i="9"/>
  <c r="P21" i="9"/>
  <c r="T21" i="9" s="1"/>
  <c r="H21" i="9"/>
  <c r="P20" i="9"/>
  <c r="Q20" i="9" s="1"/>
  <c r="H20" i="9"/>
  <c r="O19" i="9"/>
  <c r="N19" i="9"/>
  <c r="U19" i="9" s="1"/>
  <c r="H19" i="9"/>
  <c r="O18" i="9"/>
  <c r="L18" i="9"/>
  <c r="H18" i="9"/>
  <c r="P17" i="9"/>
  <c r="T17" i="9" s="1"/>
  <c r="H17" i="9"/>
  <c r="P16" i="9"/>
  <c r="T16" i="9" s="1"/>
  <c r="H16" i="9"/>
  <c r="M15" i="9"/>
  <c r="H15" i="9"/>
  <c r="P14" i="9"/>
  <c r="T14" i="9" s="1"/>
  <c r="H14" i="9"/>
  <c r="P13" i="9"/>
  <c r="Q13" i="9" s="1"/>
  <c r="H13" i="9"/>
  <c r="O12" i="9"/>
  <c r="N12" i="9"/>
  <c r="L12" i="9"/>
  <c r="H12" i="9"/>
  <c r="P11" i="9"/>
  <c r="Q11" i="9" s="1"/>
  <c r="H11" i="9"/>
  <c r="O10" i="9"/>
  <c r="H10" i="9"/>
  <c r="P9" i="9"/>
  <c r="T9" i="9" s="1"/>
  <c r="H9" i="9"/>
  <c r="P8" i="9"/>
  <c r="Q8" i="9" s="1"/>
  <c r="H8" i="9"/>
  <c r="P7" i="9"/>
  <c r="R7" i="9" s="1"/>
  <c r="H7" i="9"/>
  <c r="P6" i="9"/>
  <c r="T6" i="9" s="1"/>
  <c r="H6" i="9"/>
  <c r="P7" i="8"/>
  <c r="T7" i="8" s="1"/>
  <c r="P8" i="8"/>
  <c r="T8" i="8" s="1"/>
  <c r="P9" i="8"/>
  <c r="R9" i="8" s="1"/>
  <c r="P11" i="8"/>
  <c r="Q11" i="8" s="1"/>
  <c r="P13" i="8"/>
  <c r="Q13" i="8" s="1"/>
  <c r="P14" i="8"/>
  <c r="T14" i="8" s="1"/>
  <c r="P16" i="8"/>
  <c r="R16" i="8" s="1"/>
  <c r="P17" i="8"/>
  <c r="T17" i="8" s="1"/>
  <c r="P20" i="8"/>
  <c r="R20" i="8" s="1"/>
  <c r="P21" i="8"/>
  <c r="Q21" i="8" s="1"/>
  <c r="P23" i="8"/>
  <c r="R23" i="8" s="1"/>
  <c r="P24" i="8"/>
  <c r="Q24" i="8" s="1"/>
  <c r="P27" i="8"/>
  <c r="R27" i="8" s="1"/>
  <c r="P28" i="8"/>
  <c r="T28" i="8" s="1"/>
  <c r="P29" i="8"/>
  <c r="R29" i="8" s="1"/>
  <c r="T31" i="8"/>
  <c r="P32" i="8"/>
  <c r="R32" i="8" s="1"/>
  <c r="P33" i="8"/>
  <c r="Q33" i="8" s="1"/>
  <c r="P34" i="8"/>
  <c r="Q34" i="8" s="1"/>
  <c r="P35" i="8"/>
  <c r="T35" i="8" s="1"/>
  <c r="P36" i="8"/>
  <c r="R36" i="8" s="1"/>
  <c r="P40" i="8"/>
  <c r="R40" i="8" s="1"/>
  <c r="P41" i="8"/>
  <c r="Q41" i="8" s="1"/>
  <c r="P42" i="8"/>
  <c r="T42" i="8" s="1"/>
  <c r="P45" i="8"/>
  <c r="T45" i="8" s="1"/>
  <c r="P46" i="8"/>
  <c r="R46" i="8" s="1"/>
  <c r="P47" i="8"/>
  <c r="Q47" i="8" s="1"/>
  <c r="P48" i="8"/>
  <c r="Q48" i="8" s="1"/>
  <c r="P50" i="8"/>
  <c r="Q50" i="8" s="1"/>
  <c r="P51" i="8"/>
  <c r="R51" i="8" s="1"/>
  <c r="P52" i="8"/>
  <c r="T52" i="8" s="1"/>
  <c r="P56" i="8"/>
  <c r="T56" i="8" s="1"/>
  <c r="P58" i="8"/>
  <c r="T58" i="8" s="1"/>
  <c r="P59" i="8"/>
  <c r="T59" i="8" s="1"/>
  <c r="P64" i="8"/>
  <c r="Q64" i="8" s="1"/>
  <c r="P65" i="8"/>
  <c r="R65" i="8" s="1"/>
  <c r="P66" i="8"/>
  <c r="T66" i="8" s="1"/>
  <c r="P67" i="8"/>
  <c r="T67" i="8" s="1"/>
  <c r="P68" i="8"/>
  <c r="Q68" i="8" s="1"/>
  <c r="P69" i="8"/>
  <c r="R69" i="8" s="1"/>
  <c r="P70" i="8"/>
  <c r="T70" i="8" s="1"/>
  <c r="P71" i="8"/>
  <c r="Q71" i="8" s="1"/>
  <c r="P72" i="8"/>
  <c r="Q72" i="8" s="1"/>
  <c r="P73" i="8"/>
  <c r="R73" i="8" s="1"/>
  <c r="P75" i="8"/>
  <c r="Q75" i="8" s="1"/>
  <c r="P76" i="8"/>
  <c r="R76" i="8" s="1"/>
  <c r="P77" i="8"/>
  <c r="T77" i="8" s="1"/>
  <c r="P78" i="8"/>
  <c r="R78" i="8" s="1"/>
  <c r="P79" i="8"/>
  <c r="Q79" i="8" s="1"/>
  <c r="P80" i="8"/>
  <c r="R80" i="8" s="1"/>
  <c r="P81" i="8"/>
  <c r="T81" i="8" s="1"/>
  <c r="P82" i="8"/>
  <c r="R82" i="8" s="1"/>
  <c r="P83" i="8"/>
  <c r="Q83" i="8" s="1"/>
  <c r="P84" i="8"/>
  <c r="R84" i="8" s="1"/>
  <c r="P85" i="8"/>
  <c r="T85" i="8" s="1"/>
  <c r="P86" i="8"/>
  <c r="R86" i="8" s="1"/>
  <c r="P87" i="8"/>
  <c r="Q87" i="8" s="1"/>
  <c r="P88" i="8"/>
  <c r="R88" i="8" s="1"/>
  <c r="P89" i="8"/>
  <c r="T89" i="8" s="1"/>
  <c r="P90" i="8"/>
  <c r="R90" i="8" s="1"/>
  <c r="P6" i="8"/>
  <c r="Q6" i="8" s="1"/>
  <c r="O63" i="8"/>
  <c r="P63" i="8" s="1"/>
  <c r="O62" i="8"/>
  <c r="P62" i="8" s="1"/>
  <c r="O61" i="8"/>
  <c r="P61" i="8" s="1"/>
  <c r="P10" i="8"/>
  <c r="J92" i="8"/>
  <c r="F92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K74" i="8"/>
  <c r="P74" i="8" s="1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K60" i="8"/>
  <c r="P60" i="8" s="1"/>
  <c r="H60" i="8"/>
  <c r="H59" i="8"/>
  <c r="H58" i="8"/>
  <c r="K57" i="8"/>
  <c r="P57" i="8" s="1"/>
  <c r="H57" i="8"/>
  <c r="H56" i="8"/>
  <c r="K55" i="8"/>
  <c r="P55" i="8" s="1"/>
  <c r="H55" i="8"/>
  <c r="K54" i="8"/>
  <c r="P54" i="8" s="1"/>
  <c r="H54" i="8"/>
  <c r="M53" i="8"/>
  <c r="K53" i="8"/>
  <c r="H53" i="8"/>
  <c r="H52" i="8"/>
  <c r="H51" i="8"/>
  <c r="H50" i="8"/>
  <c r="H49" i="8"/>
  <c r="H48" i="8"/>
  <c r="H47" i="8"/>
  <c r="H46" i="8"/>
  <c r="H45" i="8"/>
  <c r="P44" i="8"/>
  <c r="H44" i="8"/>
  <c r="M43" i="8"/>
  <c r="P43" i="8" s="1"/>
  <c r="H43" i="8"/>
  <c r="H42" i="8"/>
  <c r="H41" i="8"/>
  <c r="H40" i="8"/>
  <c r="M39" i="8"/>
  <c r="P39" i="8" s="1"/>
  <c r="H39" i="8"/>
  <c r="M38" i="8"/>
  <c r="P38" i="8" s="1"/>
  <c r="H38" i="8"/>
  <c r="N37" i="8"/>
  <c r="U37" i="8" s="1"/>
  <c r="L37" i="8"/>
  <c r="H37" i="8"/>
  <c r="H36" i="8"/>
  <c r="H35" i="8"/>
  <c r="H34" i="8"/>
  <c r="H33" i="8"/>
  <c r="H32" i="8"/>
  <c r="H31" i="8"/>
  <c r="M30" i="8"/>
  <c r="H30" i="8"/>
  <c r="H29" i="8"/>
  <c r="H28" i="8"/>
  <c r="H27" i="8"/>
  <c r="L26" i="8"/>
  <c r="H26" i="8"/>
  <c r="L25" i="8"/>
  <c r="H25" i="8"/>
  <c r="H24" i="8"/>
  <c r="H23" i="8"/>
  <c r="M22" i="8"/>
  <c r="P22" i="8" s="1"/>
  <c r="H22" i="8"/>
  <c r="H21" i="8"/>
  <c r="H20" i="8"/>
  <c r="N19" i="8"/>
  <c r="U19" i="8" s="1"/>
  <c r="H19" i="8"/>
  <c r="L18" i="8"/>
  <c r="H18" i="8"/>
  <c r="H17" i="8"/>
  <c r="H16" i="8"/>
  <c r="M15" i="8"/>
  <c r="P15" i="8" s="1"/>
  <c r="H15" i="8"/>
  <c r="H14" i="8"/>
  <c r="H13" i="8"/>
  <c r="N12" i="8"/>
  <c r="U12" i="8" s="1"/>
  <c r="L12" i="8"/>
  <c r="H12" i="8"/>
  <c r="H11" i="8"/>
  <c r="H10" i="8"/>
  <c r="H9" i="8"/>
  <c r="H8" i="8"/>
  <c r="H7" i="8"/>
  <c r="H6" i="8"/>
  <c r="F92" i="7"/>
  <c r="M171" i="1"/>
  <c r="R171" i="1"/>
  <c r="N12" i="7"/>
  <c r="N37" i="7"/>
  <c r="N19" i="7"/>
  <c r="O19" i="7" s="1"/>
  <c r="Q19" i="7" s="1"/>
  <c r="J92" i="7"/>
  <c r="O90" i="7"/>
  <c r="Q90" i="7" s="1"/>
  <c r="H90" i="7"/>
  <c r="O89" i="7"/>
  <c r="S89" i="7" s="1"/>
  <c r="H89" i="7"/>
  <c r="O88" i="7"/>
  <c r="S88" i="7" s="1"/>
  <c r="H88" i="7"/>
  <c r="O87" i="7"/>
  <c r="P87" i="7" s="1"/>
  <c r="H87" i="7"/>
  <c r="O86" i="7"/>
  <c r="Q86" i="7" s="1"/>
  <c r="H86" i="7"/>
  <c r="O85" i="7"/>
  <c r="S85" i="7" s="1"/>
  <c r="H85" i="7"/>
  <c r="O84" i="7"/>
  <c r="P84" i="7" s="1"/>
  <c r="H84" i="7"/>
  <c r="O83" i="7"/>
  <c r="P83" i="7" s="1"/>
  <c r="H83" i="7"/>
  <c r="O82" i="7"/>
  <c r="Q82" i="7" s="1"/>
  <c r="H82" i="7"/>
  <c r="O81" i="7"/>
  <c r="S81" i="7" s="1"/>
  <c r="H81" i="7"/>
  <c r="O80" i="7"/>
  <c r="S80" i="7" s="1"/>
  <c r="H80" i="7"/>
  <c r="O79" i="7"/>
  <c r="P79" i="7" s="1"/>
  <c r="H79" i="7"/>
  <c r="O78" i="7"/>
  <c r="Q78" i="7" s="1"/>
  <c r="H78" i="7"/>
  <c r="O77" i="7"/>
  <c r="S77" i="7" s="1"/>
  <c r="H77" i="7"/>
  <c r="O76" i="7"/>
  <c r="S76" i="7" s="1"/>
  <c r="H76" i="7"/>
  <c r="O75" i="7"/>
  <c r="P75" i="7" s="1"/>
  <c r="H75" i="7"/>
  <c r="K74" i="7"/>
  <c r="O74" i="7" s="1"/>
  <c r="S74" i="7" s="1"/>
  <c r="H74" i="7"/>
  <c r="O73" i="7"/>
  <c r="S73" i="7" s="1"/>
  <c r="H73" i="7"/>
  <c r="O72" i="7"/>
  <c r="P72" i="7" s="1"/>
  <c r="H72" i="7"/>
  <c r="O71" i="7"/>
  <c r="Q71" i="7" s="1"/>
  <c r="H71" i="7"/>
  <c r="O70" i="7"/>
  <c r="S70" i="7" s="1"/>
  <c r="H70" i="7"/>
  <c r="O69" i="7"/>
  <c r="S69" i="7" s="1"/>
  <c r="H69" i="7"/>
  <c r="O68" i="7"/>
  <c r="P68" i="7" s="1"/>
  <c r="H68" i="7"/>
  <c r="O67" i="7"/>
  <c r="Q67" i="7" s="1"/>
  <c r="H67" i="7"/>
  <c r="O66" i="7"/>
  <c r="S66" i="7" s="1"/>
  <c r="H66" i="7"/>
  <c r="O65" i="7"/>
  <c r="S65" i="7" s="1"/>
  <c r="H65" i="7"/>
  <c r="O64" i="7"/>
  <c r="P64" i="7" s="1"/>
  <c r="H64" i="7"/>
  <c r="O63" i="7"/>
  <c r="Q63" i="7" s="1"/>
  <c r="H63" i="7"/>
  <c r="O62" i="7"/>
  <c r="S62" i="7" s="1"/>
  <c r="H62" i="7"/>
  <c r="O61" i="7"/>
  <c r="S61" i="7" s="1"/>
  <c r="H61" i="7"/>
  <c r="K60" i="7"/>
  <c r="O60" i="7" s="1"/>
  <c r="S60" i="7" s="1"/>
  <c r="H60" i="7"/>
  <c r="O59" i="7"/>
  <c r="S59" i="7" s="1"/>
  <c r="H59" i="7"/>
  <c r="O58" i="7"/>
  <c r="S58" i="7" s="1"/>
  <c r="H58" i="7"/>
  <c r="K57" i="7"/>
  <c r="O57" i="7" s="1"/>
  <c r="P57" i="7" s="1"/>
  <c r="H57" i="7"/>
  <c r="O56" i="7"/>
  <c r="S56" i="7" s="1"/>
  <c r="H56" i="7"/>
  <c r="K55" i="7"/>
  <c r="O55" i="7" s="1"/>
  <c r="S55" i="7" s="1"/>
  <c r="H55" i="7"/>
  <c r="K54" i="7"/>
  <c r="O54" i="7" s="1"/>
  <c r="S54" i="7" s="1"/>
  <c r="H54" i="7"/>
  <c r="M53" i="7"/>
  <c r="K53" i="7"/>
  <c r="H53" i="7"/>
  <c r="O52" i="7"/>
  <c r="S52" i="7" s="1"/>
  <c r="H52" i="7"/>
  <c r="O51" i="7"/>
  <c r="S51" i="7" s="1"/>
  <c r="H51" i="7"/>
  <c r="O50" i="7"/>
  <c r="P50" i="7" s="1"/>
  <c r="H50" i="7"/>
  <c r="O49" i="7"/>
  <c r="S49" i="7" s="1"/>
  <c r="H49" i="7"/>
  <c r="O48" i="7"/>
  <c r="S48" i="7" s="1"/>
  <c r="H48" i="7"/>
  <c r="O47" i="7"/>
  <c r="P47" i="7" s="1"/>
  <c r="H47" i="7"/>
  <c r="O46" i="7"/>
  <c r="Q46" i="7" s="1"/>
  <c r="H46" i="7"/>
  <c r="O45" i="7"/>
  <c r="S45" i="7" s="1"/>
  <c r="H45" i="7"/>
  <c r="M44" i="7"/>
  <c r="O44" i="7" s="1"/>
  <c r="S44" i="7" s="1"/>
  <c r="H44" i="7"/>
  <c r="M43" i="7"/>
  <c r="O43" i="7" s="1"/>
  <c r="S43" i="7" s="1"/>
  <c r="H43" i="7"/>
  <c r="O42" i="7"/>
  <c r="Q42" i="7" s="1"/>
  <c r="H42" i="7"/>
  <c r="O41" i="7"/>
  <c r="P41" i="7" s="1"/>
  <c r="H41" i="7"/>
  <c r="O40" i="7"/>
  <c r="Q40" i="7" s="1"/>
  <c r="H40" i="7"/>
  <c r="M39" i="7"/>
  <c r="O39" i="7" s="1"/>
  <c r="S39" i="7" s="1"/>
  <c r="H39" i="7"/>
  <c r="M38" i="7"/>
  <c r="O38" i="7" s="1"/>
  <c r="P38" i="7" s="1"/>
  <c r="H38" i="7"/>
  <c r="L37" i="7"/>
  <c r="H37" i="7"/>
  <c r="O36" i="7"/>
  <c r="P36" i="7" s="1"/>
  <c r="H36" i="7"/>
  <c r="O35" i="7"/>
  <c r="Q35" i="7" s="1"/>
  <c r="H35" i="7"/>
  <c r="O34" i="7"/>
  <c r="S34" i="7" s="1"/>
  <c r="H34" i="7"/>
  <c r="O33" i="7"/>
  <c r="S33" i="7" s="1"/>
  <c r="H33" i="7"/>
  <c r="O32" i="7"/>
  <c r="P32" i="7" s="1"/>
  <c r="H32" i="7"/>
  <c r="O31" i="7"/>
  <c r="Q31" i="7" s="1"/>
  <c r="H31" i="7"/>
  <c r="M30" i="7"/>
  <c r="O30" i="7" s="1"/>
  <c r="S30" i="7" s="1"/>
  <c r="H30" i="7"/>
  <c r="O29" i="7"/>
  <c r="P29" i="7" s="1"/>
  <c r="H29" i="7"/>
  <c r="O28" i="7"/>
  <c r="Q28" i="7" s="1"/>
  <c r="H28" i="7"/>
  <c r="O27" i="7"/>
  <c r="S27" i="7" s="1"/>
  <c r="H27" i="7"/>
  <c r="L26" i="7"/>
  <c r="O26" i="7" s="1"/>
  <c r="S26" i="7" s="1"/>
  <c r="H26" i="7"/>
  <c r="L25" i="7"/>
  <c r="H25" i="7"/>
  <c r="O24" i="7"/>
  <c r="S24" i="7" s="1"/>
  <c r="H24" i="7"/>
  <c r="O23" i="7"/>
  <c r="P23" i="7" s="1"/>
  <c r="H23" i="7"/>
  <c r="M22" i="7"/>
  <c r="O22" i="7" s="1"/>
  <c r="S22" i="7" s="1"/>
  <c r="H22" i="7"/>
  <c r="O21" i="7"/>
  <c r="S21" i="7" s="1"/>
  <c r="H21" i="7"/>
  <c r="O20" i="7"/>
  <c r="P20" i="7" s="1"/>
  <c r="H20" i="7"/>
  <c r="H19" i="7"/>
  <c r="L18" i="7"/>
  <c r="O18" i="7" s="1"/>
  <c r="S18" i="7" s="1"/>
  <c r="H18" i="7"/>
  <c r="O17" i="7"/>
  <c r="P17" i="7" s="1"/>
  <c r="H17" i="7"/>
  <c r="O16" i="7"/>
  <c r="Q16" i="7" s="1"/>
  <c r="H16" i="7"/>
  <c r="M15" i="7"/>
  <c r="O15" i="7" s="1"/>
  <c r="S15" i="7" s="1"/>
  <c r="H15" i="7"/>
  <c r="O14" i="7"/>
  <c r="P14" i="7" s="1"/>
  <c r="H14" i="7"/>
  <c r="O13" i="7"/>
  <c r="Q13" i="7" s="1"/>
  <c r="H13" i="7"/>
  <c r="L12" i="7"/>
  <c r="H12" i="7"/>
  <c r="O11" i="7"/>
  <c r="P11" i="7" s="1"/>
  <c r="H11" i="7"/>
  <c r="O10" i="7"/>
  <c r="Q10" i="7" s="1"/>
  <c r="H10" i="7"/>
  <c r="O9" i="7"/>
  <c r="S9" i="7" s="1"/>
  <c r="H9" i="7"/>
  <c r="O8" i="7"/>
  <c r="S8" i="7" s="1"/>
  <c r="H8" i="7"/>
  <c r="O7" i="7"/>
  <c r="P7" i="7" s="1"/>
  <c r="H7" i="7"/>
  <c r="O6" i="7"/>
  <c r="Q6" i="7" s="1"/>
  <c r="H6" i="7"/>
  <c r="N49" i="5"/>
  <c r="P49" i="5" s="1"/>
  <c r="N7" i="5"/>
  <c r="P7" i="5" s="1"/>
  <c r="N8" i="5"/>
  <c r="O8" i="5" s="1"/>
  <c r="N9" i="5"/>
  <c r="P9" i="5" s="1"/>
  <c r="N10" i="5"/>
  <c r="P10" i="5" s="1"/>
  <c r="N11" i="5"/>
  <c r="P11" i="5" s="1"/>
  <c r="N13" i="5"/>
  <c r="P13" i="5" s="1"/>
  <c r="N14" i="5"/>
  <c r="P14" i="5" s="1"/>
  <c r="N16" i="5"/>
  <c r="O16" i="5" s="1"/>
  <c r="N17" i="5"/>
  <c r="P17" i="5" s="1"/>
  <c r="N19" i="5"/>
  <c r="P19" i="5" s="1"/>
  <c r="N20" i="5"/>
  <c r="P20" i="5" s="1"/>
  <c r="N21" i="5"/>
  <c r="P21" i="5" s="1"/>
  <c r="N23" i="5"/>
  <c r="P23" i="5" s="1"/>
  <c r="N24" i="5"/>
  <c r="O24" i="5" s="1"/>
  <c r="N27" i="5"/>
  <c r="P27" i="5" s="1"/>
  <c r="N28" i="5"/>
  <c r="P28" i="5" s="1"/>
  <c r="N29" i="5"/>
  <c r="P29" i="5" s="1"/>
  <c r="N31" i="5"/>
  <c r="P31" i="5" s="1"/>
  <c r="N32" i="5"/>
  <c r="P32" i="5" s="1"/>
  <c r="N33" i="5"/>
  <c r="P33" i="5" s="1"/>
  <c r="N34" i="5"/>
  <c r="P34" i="5" s="1"/>
  <c r="N35" i="5"/>
  <c r="P35" i="5" s="1"/>
  <c r="N36" i="5"/>
  <c r="P36" i="5" s="1"/>
  <c r="N40" i="5"/>
  <c r="P40" i="5" s="1"/>
  <c r="N41" i="5"/>
  <c r="P41" i="5" s="1"/>
  <c r="N42" i="5"/>
  <c r="P42" i="5" s="1"/>
  <c r="N45" i="5"/>
  <c r="P45" i="5" s="1"/>
  <c r="N46" i="5"/>
  <c r="P46" i="5" s="1"/>
  <c r="N47" i="5"/>
  <c r="P47" i="5" s="1"/>
  <c r="N48" i="5"/>
  <c r="P48" i="5" s="1"/>
  <c r="N50" i="5"/>
  <c r="P50" i="5" s="1"/>
  <c r="N51" i="5"/>
  <c r="P51" i="5" s="1"/>
  <c r="N52" i="5"/>
  <c r="P52" i="5" s="1"/>
  <c r="N56" i="5"/>
  <c r="P56" i="5" s="1"/>
  <c r="N58" i="5"/>
  <c r="P58" i="5" s="1"/>
  <c r="N59" i="5"/>
  <c r="P59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P70" i="5" s="1"/>
  <c r="N71" i="5"/>
  <c r="P71" i="5" s="1"/>
  <c r="N72" i="5"/>
  <c r="P72" i="5" s="1"/>
  <c r="N73" i="5"/>
  <c r="P73" i="5" s="1"/>
  <c r="N75" i="5"/>
  <c r="P75" i="5" s="1"/>
  <c r="N76" i="5"/>
  <c r="P76" i="5" s="1"/>
  <c r="N77" i="5"/>
  <c r="P77" i="5" s="1"/>
  <c r="N78" i="5"/>
  <c r="P78" i="5" s="1"/>
  <c r="N79" i="5"/>
  <c r="P79" i="5" s="1"/>
  <c r="N80" i="5"/>
  <c r="P80" i="5" s="1"/>
  <c r="N81" i="5"/>
  <c r="P81" i="5" s="1"/>
  <c r="N82" i="5"/>
  <c r="P82" i="5" s="1"/>
  <c r="N83" i="5"/>
  <c r="P83" i="5" s="1"/>
  <c r="N84" i="5"/>
  <c r="P84" i="5" s="1"/>
  <c r="N85" i="5"/>
  <c r="P85" i="5" s="1"/>
  <c r="N86" i="5"/>
  <c r="P86" i="5" s="1"/>
  <c r="N87" i="5"/>
  <c r="P87" i="5" s="1"/>
  <c r="N88" i="5"/>
  <c r="P88" i="5" s="1"/>
  <c r="N89" i="5"/>
  <c r="P89" i="5" s="1"/>
  <c r="N90" i="5"/>
  <c r="P90" i="5" s="1"/>
  <c r="N6" i="5"/>
  <c r="P6" i="5" s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2" i="6"/>
  <c r="H108" i="5"/>
  <c r="H109" i="5" s="1"/>
  <c r="J92" i="5"/>
  <c r="L26" i="5"/>
  <c r="L37" i="5"/>
  <c r="N37" i="5" s="1"/>
  <c r="L25" i="5"/>
  <c r="N25" i="5" s="1"/>
  <c r="L18" i="5"/>
  <c r="N18" i="5" s="1"/>
  <c r="L12" i="5"/>
  <c r="N12" i="5" s="1"/>
  <c r="M44" i="5"/>
  <c r="N44" i="5" s="1"/>
  <c r="M43" i="5"/>
  <c r="M30" i="5"/>
  <c r="N30" i="5" s="1"/>
  <c r="M53" i="5"/>
  <c r="M38" i="5"/>
  <c r="M15" i="5"/>
  <c r="M39" i="5"/>
  <c r="M22" i="5"/>
  <c r="N22" i="5" s="1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K74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K60" i="5"/>
  <c r="H60" i="5"/>
  <c r="H59" i="5"/>
  <c r="H58" i="5"/>
  <c r="K57" i="5"/>
  <c r="H57" i="5"/>
  <c r="H56" i="5"/>
  <c r="K55" i="5"/>
  <c r="H55" i="5"/>
  <c r="K54" i="5"/>
  <c r="N54" i="5" s="1"/>
  <c r="H54" i="5"/>
  <c r="K53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L8" i="4"/>
  <c r="M8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L47" i="4"/>
  <c r="M47" i="4" s="1"/>
  <c r="L48" i="4"/>
  <c r="M48" i="4" s="1"/>
  <c r="L49" i="4"/>
  <c r="M49" i="4" s="1"/>
  <c r="L50" i="4"/>
  <c r="M50" i="4" s="1"/>
  <c r="L51" i="4"/>
  <c r="M51" i="4" s="1"/>
  <c r="L52" i="4"/>
  <c r="M52" i="4" s="1"/>
  <c r="L56" i="4"/>
  <c r="M56" i="4" s="1"/>
  <c r="L58" i="4"/>
  <c r="M58" i="4" s="1"/>
  <c r="L59" i="4"/>
  <c r="M59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L68" i="4"/>
  <c r="M68" i="4" s="1"/>
  <c r="L69" i="4"/>
  <c r="M69" i="4" s="1"/>
  <c r="L70" i="4"/>
  <c r="M70" i="4" s="1"/>
  <c r="L71" i="4"/>
  <c r="M71" i="4" s="1"/>
  <c r="L72" i="4"/>
  <c r="M72" i="4" s="1"/>
  <c r="L73" i="4"/>
  <c r="M73" i="4" s="1"/>
  <c r="L75" i="4"/>
  <c r="M75" i="4" s="1"/>
  <c r="L76" i="4"/>
  <c r="M76" i="4" s="1"/>
  <c r="L77" i="4"/>
  <c r="M77" i="4" s="1"/>
  <c r="L78" i="4"/>
  <c r="M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L88" i="4"/>
  <c r="M88" i="4" s="1"/>
  <c r="L89" i="4"/>
  <c r="M89" i="4" s="1"/>
  <c r="L90" i="4"/>
  <c r="M90" i="4" s="1"/>
  <c r="L7" i="4"/>
  <c r="M7" i="4" s="1"/>
  <c r="L6" i="4"/>
  <c r="M6" i="4" s="1"/>
  <c r="K74" i="4"/>
  <c r="K57" i="4"/>
  <c r="K60" i="4"/>
  <c r="K55" i="4"/>
  <c r="L9" i="4"/>
  <c r="M9" i="4" s="1"/>
  <c r="K53" i="4"/>
  <c r="K54" i="4"/>
  <c r="P49" i="8" l="1"/>
  <c r="Q49" i="8" s="1"/>
  <c r="U49" i="8"/>
  <c r="R63" i="8"/>
  <c r="R62" i="8"/>
  <c r="P25" i="8"/>
  <c r="T25" i="8" s="1"/>
  <c r="T61" i="8"/>
  <c r="P18" i="8"/>
  <c r="Q18" i="8" s="1"/>
  <c r="P30" i="8"/>
  <c r="P26" i="8"/>
  <c r="Q26" i="8" s="1"/>
  <c r="P19" i="8"/>
  <c r="T19" i="8" s="1"/>
  <c r="V19" i="8" s="1"/>
  <c r="P12" i="8"/>
  <c r="R12" i="8" s="1"/>
  <c r="T48" i="9"/>
  <c r="Q48" i="9"/>
  <c r="P10" i="9"/>
  <c r="Q10" i="9" s="1"/>
  <c r="O92" i="9"/>
  <c r="U12" i="9"/>
  <c r="N92" i="9"/>
  <c r="M92" i="9"/>
  <c r="L92" i="9"/>
  <c r="K92" i="9"/>
  <c r="P49" i="9"/>
  <c r="Q49" i="9" s="1"/>
  <c r="U49" i="9"/>
  <c r="P26" i="9"/>
  <c r="T26" i="9" s="1"/>
  <c r="P25" i="9"/>
  <c r="R25" i="9" s="1"/>
  <c r="P30" i="9"/>
  <c r="T30" i="9" s="1"/>
  <c r="P19" i="9"/>
  <c r="T19" i="9" s="1"/>
  <c r="P18" i="9"/>
  <c r="R18" i="9" s="1"/>
  <c r="P12" i="9"/>
  <c r="Q90" i="9"/>
  <c r="R83" i="9"/>
  <c r="T35" i="9"/>
  <c r="Q82" i="9"/>
  <c r="R20" i="9"/>
  <c r="T45" i="9"/>
  <c r="P53" i="9"/>
  <c r="T53" i="9" s="1"/>
  <c r="Q50" i="9"/>
  <c r="T71" i="9"/>
  <c r="T82" i="9"/>
  <c r="Q43" i="9"/>
  <c r="R43" i="9"/>
  <c r="Q9" i="9"/>
  <c r="R13" i="9"/>
  <c r="R64" i="9"/>
  <c r="Q71" i="9"/>
  <c r="R72" i="9"/>
  <c r="T86" i="9"/>
  <c r="T13" i="9"/>
  <c r="T20" i="9"/>
  <c r="Q56" i="9"/>
  <c r="Q67" i="9"/>
  <c r="Q54" i="9"/>
  <c r="R54" i="9"/>
  <c r="R27" i="9"/>
  <c r="Q35" i="9"/>
  <c r="R36" i="9"/>
  <c r="Q41" i="9"/>
  <c r="Q45" i="9"/>
  <c r="R46" i="9"/>
  <c r="T52" i="9"/>
  <c r="R68" i="9"/>
  <c r="R69" i="9"/>
  <c r="R75" i="9"/>
  <c r="Q80" i="9"/>
  <c r="Q86" i="9"/>
  <c r="R87" i="9"/>
  <c r="T88" i="9"/>
  <c r="T27" i="9"/>
  <c r="R11" i="9"/>
  <c r="Q59" i="9"/>
  <c r="Q33" i="9"/>
  <c r="P37" i="9"/>
  <c r="T37" i="9" s="1"/>
  <c r="Q52" i="9"/>
  <c r="T56" i="9"/>
  <c r="T59" i="9"/>
  <c r="Q69" i="9"/>
  <c r="T76" i="9"/>
  <c r="Q88" i="9"/>
  <c r="Q22" i="9"/>
  <c r="R22" i="9"/>
  <c r="Q7" i="9"/>
  <c r="R8" i="9"/>
  <c r="R9" i="9"/>
  <c r="P15" i="9"/>
  <c r="T15" i="9" s="1"/>
  <c r="Q16" i="9"/>
  <c r="Q23" i="9"/>
  <c r="Q29" i="9"/>
  <c r="Q31" i="9"/>
  <c r="R32" i="9"/>
  <c r="R33" i="9"/>
  <c r="R40" i="9"/>
  <c r="R41" i="9"/>
  <c r="Q47" i="9"/>
  <c r="R50" i="9"/>
  <c r="Q65" i="9"/>
  <c r="T67" i="9"/>
  <c r="Q73" i="9"/>
  <c r="Q78" i="9"/>
  <c r="R79" i="9"/>
  <c r="T80" i="9"/>
  <c r="Q84" i="9"/>
  <c r="T90" i="9"/>
  <c r="T7" i="9"/>
  <c r="R16" i="9"/>
  <c r="R23" i="9"/>
  <c r="T29" i="9"/>
  <c r="T31" i="9"/>
  <c r="R47" i="9"/>
  <c r="R65" i="9"/>
  <c r="R73" i="9"/>
  <c r="T78" i="9"/>
  <c r="T84" i="9"/>
  <c r="H92" i="9"/>
  <c r="Q76" i="9"/>
  <c r="T38" i="9"/>
  <c r="Q38" i="9"/>
  <c r="R38" i="9"/>
  <c r="Q57" i="9"/>
  <c r="T57" i="9"/>
  <c r="R57" i="9"/>
  <c r="T60" i="9"/>
  <c r="Q60" i="9"/>
  <c r="R60" i="9"/>
  <c r="T62" i="9"/>
  <c r="Q62" i="9"/>
  <c r="R62" i="9"/>
  <c r="R74" i="9"/>
  <c r="Q74" i="9"/>
  <c r="T74" i="9"/>
  <c r="R39" i="9"/>
  <c r="Q39" i="9"/>
  <c r="T39" i="9"/>
  <c r="R61" i="9"/>
  <c r="T61" i="9"/>
  <c r="Q61" i="9"/>
  <c r="R63" i="9"/>
  <c r="T63" i="9"/>
  <c r="Q63" i="9"/>
  <c r="Q6" i="9"/>
  <c r="T8" i="9"/>
  <c r="T11" i="9"/>
  <c r="Q14" i="9"/>
  <c r="Q17" i="9"/>
  <c r="Q21" i="9"/>
  <c r="T22" i="9"/>
  <c r="Q24" i="9"/>
  <c r="Q28" i="9"/>
  <c r="T32" i="9"/>
  <c r="Q34" i="9"/>
  <c r="T36" i="9"/>
  <c r="T40" i="9"/>
  <c r="Q42" i="9"/>
  <c r="T43" i="9"/>
  <c r="Q44" i="9"/>
  <c r="T46" i="9"/>
  <c r="Q51" i="9"/>
  <c r="T54" i="9"/>
  <c r="Q55" i="9"/>
  <c r="Q58" i="9"/>
  <c r="T64" i="9"/>
  <c r="Q66" i="9"/>
  <c r="T68" i="9"/>
  <c r="Q70" i="9"/>
  <c r="T72" i="9"/>
  <c r="T75" i="9"/>
  <c r="Q77" i="9"/>
  <c r="T79" i="9"/>
  <c r="Q81" i="9"/>
  <c r="T83" i="9"/>
  <c r="Q85" i="9"/>
  <c r="T87" i="9"/>
  <c r="Q89" i="9"/>
  <c r="R6" i="9"/>
  <c r="R14" i="9"/>
  <c r="R17" i="9"/>
  <c r="R21" i="9"/>
  <c r="R24" i="9"/>
  <c r="R28" i="9"/>
  <c r="R34" i="9"/>
  <c r="R42" i="9"/>
  <c r="R44" i="9"/>
  <c r="R48" i="9"/>
  <c r="R51" i="9"/>
  <c r="R55" i="9"/>
  <c r="R58" i="9"/>
  <c r="R66" i="9"/>
  <c r="R70" i="9"/>
  <c r="R77" i="9"/>
  <c r="R81" i="9"/>
  <c r="R85" i="9"/>
  <c r="R89" i="9"/>
  <c r="Q30" i="8"/>
  <c r="P53" i="8"/>
  <c r="Q53" i="8" s="1"/>
  <c r="O92" i="8"/>
  <c r="P37" i="8"/>
  <c r="T37" i="8" s="1"/>
  <c r="V37" i="8" s="1"/>
  <c r="Q10" i="8"/>
  <c r="Q57" i="8"/>
  <c r="T39" i="8"/>
  <c r="T22" i="8"/>
  <c r="T88" i="8"/>
  <c r="R68" i="8"/>
  <c r="T6" i="8"/>
  <c r="Q27" i="8"/>
  <c r="R42" i="8"/>
  <c r="T51" i="8"/>
  <c r="T80" i="8"/>
  <c r="T9" i="8"/>
  <c r="Q16" i="8"/>
  <c r="T23" i="8"/>
  <c r="T32" i="8"/>
  <c r="R50" i="8"/>
  <c r="R64" i="8"/>
  <c r="Q86" i="8"/>
  <c r="T16" i="8"/>
  <c r="T40" i="8"/>
  <c r="R72" i="8"/>
  <c r="T27" i="8"/>
  <c r="Q78" i="8"/>
  <c r="T86" i="8"/>
  <c r="T78" i="8"/>
  <c r="Q51" i="8"/>
  <c r="R7" i="8"/>
  <c r="N92" i="8"/>
  <c r="T20" i="8"/>
  <c r="T41" i="8"/>
  <c r="T46" i="8"/>
  <c r="Q58" i="8"/>
  <c r="R67" i="8"/>
  <c r="Q82" i="8"/>
  <c r="Q90" i="8"/>
  <c r="R58" i="8"/>
  <c r="T82" i="8"/>
  <c r="T90" i="8"/>
  <c r="T24" i="8"/>
  <c r="T36" i="8"/>
  <c r="T50" i="8"/>
  <c r="T69" i="8"/>
  <c r="Q76" i="8"/>
  <c r="Q80" i="8"/>
  <c r="Q84" i="8"/>
  <c r="Q88" i="8"/>
  <c r="Q60" i="8"/>
  <c r="R60" i="8"/>
  <c r="R11" i="8"/>
  <c r="R13" i="8"/>
  <c r="T21" i="8"/>
  <c r="T33" i="8"/>
  <c r="R34" i="8"/>
  <c r="T47" i="8"/>
  <c r="R48" i="8"/>
  <c r="T65" i="8"/>
  <c r="R71" i="8"/>
  <c r="T73" i="8"/>
  <c r="R6" i="8"/>
  <c r="Q7" i="8"/>
  <c r="T11" i="8"/>
  <c r="T13" i="8"/>
  <c r="M92" i="8"/>
  <c r="R24" i="8"/>
  <c r="T29" i="8"/>
  <c r="H92" i="8"/>
  <c r="T34" i="8"/>
  <c r="R41" i="8"/>
  <c r="Q42" i="8"/>
  <c r="T48" i="8"/>
  <c r="Q67" i="8"/>
  <c r="Q69" i="8"/>
  <c r="T71" i="8"/>
  <c r="R75" i="8"/>
  <c r="T76" i="8"/>
  <c r="R83" i="8"/>
  <c r="T84" i="8"/>
  <c r="R21" i="8"/>
  <c r="R33" i="8"/>
  <c r="R47" i="8"/>
  <c r="R57" i="8"/>
  <c r="Q65" i="8"/>
  <c r="Q73" i="8"/>
  <c r="R79" i="8"/>
  <c r="R87" i="8"/>
  <c r="Q38" i="8"/>
  <c r="R38" i="8"/>
  <c r="T38" i="8"/>
  <c r="R43" i="8"/>
  <c r="Q43" i="8"/>
  <c r="T43" i="8"/>
  <c r="Q55" i="8"/>
  <c r="T55" i="8"/>
  <c r="R55" i="8"/>
  <c r="R74" i="8"/>
  <c r="T74" i="8"/>
  <c r="Q74" i="8"/>
  <c r="Q44" i="8"/>
  <c r="T44" i="8"/>
  <c r="R44" i="8"/>
  <c r="R54" i="8"/>
  <c r="Q54" i="8"/>
  <c r="T54" i="8"/>
  <c r="K92" i="8"/>
  <c r="Q8" i="8"/>
  <c r="Q14" i="8"/>
  <c r="Q17" i="8"/>
  <c r="Q28" i="8"/>
  <c r="Q31" i="8"/>
  <c r="Q35" i="8"/>
  <c r="Q45" i="8"/>
  <c r="Q52" i="8"/>
  <c r="Q56" i="8"/>
  <c r="T57" i="8"/>
  <c r="Q59" i="8"/>
  <c r="T60" i="8"/>
  <c r="T64" i="8"/>
  <c r="Q66" i="8"/>
  <c r="T68" i="8"/>
  <c r="Q70" i="8"/>
  <c r="T72" i="8"/>
  <c r="T75" i="8"/>
  <c r="Q77" i="8"/>
  <c r="T79" i="8"/>
  <c r="Q81" i="8"/>
  <c r="T83" i="8"/>
  <c r="Q85" i="8"/>
  <c r="T87" i="8"/>
  <c r="Q89" i="8"/>
  <c r="L92" i="8"/>
  <c r="R8" i="8"/>
  <c r="Q9" i="8"/>
  <c r="R14" i="8"/>
  <c r="R17" i="8"/>
  <c r="Q20" i="8"/>
  <c r="Q23" i="8"/>
  <c r="R28" i="8"/>
  <c r="Q29" i="8"/>
  <c r="R31" i="8"/>
  <c r="Q32" i="8"/>
  <c r="R35" i="8"/>
  <c r="Q36" i="8"/>
  <c r="Q40" i="8"/>
  <c r="R45" i="8"/>
  <c r="Q46" i="8"/>
  <c r="R52" i="8"/>
  <c r="R56" i="8"/>
  <c r="R59" i="8"/>
  <c r="R66" i="8"/>
  <c r="R70" i="8"/>
  <c r="R77" i="8"/>
  <c r="R81" i="8"/>
  <c r="R85" i="8"/>
  <c r="R89" i="8"/>
  <c r="S83" i="7"/>
  <c r="S75" i="7"/>
  <c r="S67" i="7"/>
  <c r="S72" i="7"/>
  <c r="S64" i="7"/>
  <c r="S23" i="7"/>
  <c r="S87" i="7"/>
  <c r="S79" i="7"/>
  <c r="S71" i="7"/>
  <c r="S63" i="7"/>
  <c r="S35" i="7"/>
  <c r="S84" i="7"/>
  <c r="S68" i="7"/>
  <c r="S47" i="7"/>
  <c r="S31" i="7"/>
  <c r="S11" i="7"/>
  <c r="S90" i="7"/>
  <c r="S86" i="7"/>
  <c r="S82" i="7"/>
  <c r="S78" i="7"/>
  <c r="S50" i="7"/>
  <c r="S46" i="7"/>
  <c r="S42" i="7"/>
  <c r="S38" i="7"/>
  <c r="S14" i="7"/>
  <c r="S10" i="7"/>
  <c r="S57" i="7"/>
  <c r="S41" i="7"/>
  <c r="S29" i="7"/>
  <c r="S17" i="7"/>
  <c r="S13" i="7"/>
  <c r="S19" i="7"/>
  <c r="S40" i="7"/>
  <c r="S36" i="7"/>
  <c r="S32" i="7"/>
  <c r="S28" i="7"/>
  <c r="S20" i="7"/>
  <c r="S16" i="7"/>
  <c r="N92" i="7"/>
  <c r="O12" i="7"/>
  <c r="S12" i="7" s="1"/>
  <c r="Q14" i="7"/>
  <c r="Q32" i="7"/>
  <c r="Q79" i="7"/>
  <c r="Q29" i="7"/>
  <c r="P6" i="7"/>
  <c r="Q11" i="7"/>
  <c r="P28" i="7"/>
  <c r="P31" i="7"/>
  <c r="P67" i="7"/>
  <c r="Q76" i="7"/>
  <c r="P10" i="7"/>
  <c r="P58" i="7"/>
  <c r="P69" i="7"/>
  <c r="Q87" i="7"/>
  <c r="P86" i="7"/>
  <c r="P35" i="7"/>
  <c r="O37" i="7"/>
  <c r="Q17" i="7"/>
  <c r="P13" i="7"/>
  <c r="P16" i="7"/>
  <c r="P21" i="7"/>
  <c r="P71" i="7"/>
  <c r="P78" i="7"/>
  <c r="Q83" i="7"/>
  <c r="P8" i="7"/>
  <c r="Q20" i="7"/>
  <c r="Q21" i="7"/>
  <c r="Q36" i="7"/>
  <c r="P48" i="7"/>
  <c r="Q69" i="7"/>
  <c r="Q72" i="7"/>
  <c r="H92" i="7"/>
  <c r="Q61" i="7"/>
  <c r="P76" i="7"/>
  <c r="P60" i="7"/>
  <c r="Q60" i="7"/>
  <c r="Q7" i="7"/>
  <c r="Q8" i="7"/>
  <c r="P19" i="7"/>
  <c r="Q23" i="7"/>
  <c r="P42" i="7"/>
  <c r="Q48" i="7"/>
  <c r="P51" i="7"/>
  <c r="P63" i="7"/>
  <c r="Q64" i="7"/>
  <c r="Q84" i="7"/>
  <c r="P90" i="7"/>
  <c r="P61" i="7"/>
  <c r="Q68" i="7"/>
  <c r="Q75" i="7"/>
  <c r="P82" i="7"/>
  <c r="S6" i="7"/>
  <c r="P24" i="7"/>
  <c r="L92" i="7"/>
  <c r="P33" i="7"/>
  <c r="P40" i="7"/>
  <c r="Q41" i="7"/>
  <c r="Q50" i="7"/>
  <c r="Q51" i="7"/>
  <c r="Q57" i="7"/>
  <c r="Q58" i="7"/>
  <c r="P65" i="7"/>
  <c r="P73" i="7"/>
  <c r="P80" i="7"/>
  <c r="P88" i="7"/>
  <c r="M92" i="7"/>
  <c r="Q24" i="7"/>
  <c r="Q33" i="7"/>
  <c r="K92" i="7"/>
  <c r="Q65" i="7"/>
  <c r="Q73" i="7"/>
  <c r="Q80" i="7"/>
  <c r="Q88" i="7"/>
  <c r="Q38" i="7"/>
  <c r="P46" i="7"/>
  <c r="Q47" i="7"/>
  <c r="Q54" i="7"/>
  <c r="P54" i="7"/>
  <c r="Q74" i="7"/>
  <c r="P74" i="7"/>
  <c r="P44" i="7"/>
  <c r="Q44" i="7"/>
  <c r="Q49" i="7"/>
  <c r="P49" i="7"/>
  <c r="Q43" i="7"/>
  <c r="P43" i="7"/>
  <c r="Q22" i="7"/>
  <c r="P22" i="7"/>
  <c r="P26" i="7"/>
  <c r="Q26" i="7"/>
  <c r="Q55" i="7"/>
  <c r="P55" i="7"/>
  <c r="S7" i="7"/>
  <c r="P9" i="7"/>
  <c r="P15" i="7"/>
  <c r="P18" i="7"/>
  <c r="O25" i="7"/>
  <c r="S25" i="7" s="1"/>
  <c r="P27" i="7"/>
  <c r="P30" i="7"/>
  <c r="P34" i="7"/>
  <c r="P39" i="7"/>
  <c r="P45" i="7"/>
  <c r="P52" i="7"/>
  <c r="P56" i="7"/>
  <c r="P59" i="7"/>
  <c r="P62" i="7"/>
  <c r="P66" i="7"/>
  <c r="P70" i="7"/>
  <c r="P77" i="7"/>
  <c r="P81" i="7"/>
  <c r="P85" i="7"/>
  <c r="P89" i="7"/>
  <c r="Q9" i="7"/>
  <c r="Q15" i="7"/>
  <c r="Q18" i="7"/>
  <c r="Q27" i="7"/>
  <c r="Q30" i="7"/>
  <c r="Q34" i="7"/>
  <c r="Q39" i="7"/>
  <c r="Q45" i="7"/>
  <c r="Q52" i="7"/>
  <c r="Q56" i="7"/>
  <c r="Q59" i="7"/>
  <c r="Q62" i="7"/>
  <c r="Q66" i="7"/>
  <c r="Q70" i="7"/>
  <c r="Q77" i="7"/>
  <c r="Q81" i="7"/>
  <c r="Q85" i="7"/>
  <c r="Q89" i="7"/>
  <c r="O53" i="7"/>
  <c r="S53" i="7" s="1"/>
  <c r="N53" i="5"/>
  <c r="P22" i="5"/>
  <c r="P18" i="5"/>
  <c r="N57" i="5"/>
  <c r="R57" i="5" s="1"/>
  <c r="N74" i="5"/>
  <c r="R74" i="5" s="1"/>
  <c r="N38" i="5"/>
  <c r="O38" i="5" s="1"/>
  <c r="N26" i="5"/>
  <c r="P26" i="5" s="1"/>
  <c r="R30" i="5"/>
  <c r="P25" i="5"/>
  <c r="N60" i="5"/>
  <c r="O60" i="5" s="1"/>
  <c r="R54" i="5"/>
  <c r="R44" i="5"/>
  <c r="P12" i="5"/>
  <c r="P37" i="5"/>
  <c r="N55" i="5"/>
  <c r="R55" i="5" s="1"/>
  <c r="N43" i="5"/>
  <c r="P43" i="5" s="1"/>
  <c r="N39" i="5"/>
  <c r="R39" i="5" s="1"/>
  <c r="N15" i="5"/>
  <c r="O15" i="5" s="1"/>
  <c r="H110" i="5"/>
  <c r="K92" i="5"/>
  <c r="L92" i="5"/>
  <c r="M92" i="5"/>
  <c r="X58" i="4"/>
  <c r="X38" i="4"/>
  <c r="X90" i="4"/>
  <c r="X22" i="4"/>
  <c r="X82" i="4"/>
  <c r="X89" i="4"/>
  <c r="X81" i="4"/>
  <c r="X50" i="4"/>
  <c r="X34" i="4"/>
  <c r="X18" i="4"/>
  <c r="X86" i="4"/>
  <c r="X78" i="4"/>
  <c r="X46" i="4"/>
  <c r="X30" i="4"/>
  <c r="X14" i="4"/>
  <c r="X85" i="4"/>
  <c r="X77" i="4"/>
  <c r="X42" i="4"/>
  <c r="X26" i="4"/>
  <c r="X10" i="4"/>
  <c r="X70" i="4"/>
  <c r="X73" i="4"/>
  <c r="X69" i="4"/>
  <c r="X65" i="4"/>
  <c r="X61" i="4"/>
  <c r="X45" i="4"/>
  <c r="X41" i="4"/>
  <c r="X37" i="4"/>
  <c r="X33" i="4"/>
  <c r="X29" i="4"/>
  <c r="X21" i="4"/>
  <c r="X17" i="4"/>
  <c r="X13" i="4"/>
  <c r="X9" i="4"/>
  <c r="X66" i="4"/>
  <c r="X25" i="4"/>
  <c r="X88" i="4"/>
  <c r="X84" i="4"/>
  <c r="X80" i="4"/>
  <c r="X76" i="4"/>
  <c r="X72" i="4"/>
  <c r="X68" i="4"/>
  <c r="X64" i="4"/>
  <c r="X56" i="4"/>
  <c r="X52" i="4"/>
  <c r="X48" i="4"/>
  <c r="X44" i="4"/>
  <c r="X40" i="4"/>
  <c r="X36" i="4"/>
  <c r="X32" i="4"/>
  <c r="X28" i="4"/>
  <c r="X24" i="4"/>
  <c r="X20" i="4"/>
  <c r="X16" i="4"/>
  <c r="X12" i="4"/>
  <c r="X8" i="4"/>
  <c r="X62" i="4"/>
  <c r="X49" i="4"/>
  <c r="X87" i="4"/>
  <c r="X83" i="4"/>
  <c r="X79" i="4"/>
  <c r="X75" i="4"/>
  <c r="X71" i="4"/>
  <c r="X67" i="4"/>
  <c r="X63" i="4"/>
  <c r="X59" i="4"/>
  <c r="X51" i="4"/>
  <c r="X47" i="4"/>
  <c r="X43" i="4"/>
  <c r="X39" i="4"/>
  <c r="X35" i="4"/>
  <c r="X31" i="4"/>
  <c r="X27" i="4"/>
  <c r="X23" i="4"/>
  <c r="X19" i="4"/>
  <c r="X15" i="4"/>
  <c r="X11" i="4"/>
  <c r="X7" i="4"/>
  <c r="X6" i="4"/>
  <c r="R36" i="5"/>
  <c r="R10" i="5"/>
  <c r="R46" i="5"/>
  <c r="R12" i="5"/>
  <c r="R76" i="5"/>
  <c r="R28" i="5"/>
  <c r="R56" i="5"/>
  <c r="R20" i="5"/>
  <c r="R88" i="5"/>
  <c r="R52" i="5"/>
  <c r="R33" i="5"/>
  <c r="R24" i="5"/>
  <c r="R16" i="5"/>
  <c r="R84" i="5"/>
  <c r="R58" i="5"/>
  <c r="R50" i="5"/>
  <c r="R40" i="5"/>
  <c r="R32" i="5"/>
  <c r="R21" i="5"/>
  <c r="R80" i="5"/>
  <c r="R48" i="5"/>
  <c r="R72" i="5"/>
  <c r="R68" i="5"/>
  <c r="R64" i="5"/>
  <c r="R8" i="5"/>
  <c r="R87" i="5"/>
  <c r="R83" i="5"/>
  <c r="R79" i="5"/>
  <c r="R75" i="5"/>
  <c r="R71" i="5"/>
  <c r="R67" i="5"/>
  <c r="R63" i="5"/>
  <c r="R59" i="5"/>
  <c r="R51" i="5"/>
  <c r="R47" i="5"/>
  <c r="R35" i="5"/>
  <c r="R31" i="5"/>
  <c r="R27" i="5"/>
  <c r="R23" i="5"/>
  <c r="R19" i="5"/>
  <c r="R90" i="5"/>
  <c r="R86" i="5"/>
  <c r="R82" i="5"/>
  <c r="R78" i="5"/>
  <c r="R70" i="5"/>
  <c r="R66" i="5"/>
  <c r="R62" i="5"/>
  <c r="R42" i="5"/>
  <c r="R34" i="5"/>
  <c r="R22" i="5"/>
  <c r="R18" i="5"/>
  <c r="R89" i="5"/>
  <c r="R85" i="5"/>
  <c r="R81" i="5"/>
  <c r="R77" i="5"/>
  <c r="R73" i="5"/>
  <c r="R69" i="5"/>
  <c r="R65" i="5"/>
  <c r="R61" i="5"/>
  <c r="R49" i="5"/>
  <c r="R45" i="5"/>
  <c r="R41" i="5"/>
  <c r="R37" i="5"/>
  <c r="R29" i="5"/>
  <c r="R25" i="5"/>
  <c r="R17" i="5"/>
  <c r="R14" i="5"/>
  <c r="R13" i="5"/>
  <c r="R9" i="5"/>
  <c r="R11" i="5"/>
  <c r="R7" i="5"/>
  <c r="R6" i="5"/>
  <c r="P44" i="5"/>
  <c r="P30" i="5"/>
  <c r="P54" i="5"/>
  <c r="P24" i="5"/>
  <c r="P8" i="5"/>
  <c r="P68" i="5"/>
  <c r="P16" i="5"/>
  <c r="H92" i="5"/>
  <c r="P64" i="5"/>
  <c r="P63" i="5"/>
  <c r="O12" i="5"/>
  <c r="O20" i="5"/>
  <c r="O28" i="5"/>
  <c r="P67" i="5"/>
  <c r="O54" i="5"/>
  <c r="P62" i="5"/>
  <c r="P66" i="5"/>
  <c r="O70" i="5"/>
  <c r="O71" i="5"/>
  <c r="O72" i="5"/>
  <c r="O73" i="5"/>
  <c r="O6" i="5"/>
  <c r="O10" i="5"/>
  <c r="O14" i="5"/>
  <c r="O18" i="5"/>
  <c r="O22" i="5"/>
  <c r="P61" i="5"/>
  <c r="P65" i="5"/>
  <c r="P69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56" i="5"/>
  <c r="O7" i="5"/>
  <c r="O9" i="5"/>
  <c r="O11" i="5"/>
  <c r="O13" i="5"/>
  <c r="O17" i="5"/>
  <c r="O19" i="5"/>
  <c r="O21" i="5"/>
  <c r="O23" i="5"/>
  <c r="O25" i="5"/>
  <c r="O27" i="5"/>
  <c r="O29" i="5"/>
  <c r="O30" i="5"/>
  <c r="O31" i="5"/>
  <c r="O32" i="5"/>
  <c r="O33" i="5"/>
  <c r="O34" i="5"/>
  <c r="O35" i="5"/>
  <c r="O36" i="5"/>
  <c r="O37" i="5"/>
  <c r="O40" i="5"/>
  <c r="O41" i="5"/>
  <c r="O42" i="5"/>
  <c r="O44" i="5"/>
  <c r="O45" i="5"/>
  <c r="O46" i="5"/>
  <c r="O47" i="5"/>
  <c r="O48" i="5"/>
  <c r="O49" i="5"/>
  <c r="O50" i="5"/>
  <c r="O51" i="5"/>
  <c r="O52" i="5"/>
  <c r="O58" i="5"/>
  <c r="O59" i="5"/>
  <c r="L53" i="4"/>
  <c r="X53" i="4" s="1"/>
  <c r="L60" i="4"/>
  <c r="X60" i="4" s="1"/>
  <c r="L74" i="4"/>
  <c r="X74" i="4" s="1"/>
  <c r="L54" i="4"/>
  <c r="X54" i="4" s="1"/>
  <c r="L57" i="4"/>
  <c r="X57" i="4" s="1"/>
  <c r="L55" i="4"/>
  <c r="X55" i="4" s="1"/>
  <c r="N69" i="4"/>
  <c r="N83" i="4"/>
  <c r="N51" i="4"/>
  <c r="N27" i="4"/>
  <c r="N79" i="4"/>
  <c r="N47" i="4"/>
  <c r="N15" i="4"/>
  <c r="N67" i="4"/>
  <c r="N35" i="4"/>
  <c r="N11" i="4"/>
  <c r="N63" i="4"/>
  <c r="N31" i="4"/>
  <c r="N19" i="4"/>
  <c r="N75" i="4"/>
  <c r="N59" i="4"/>
  <c r="N43" i="4"/>
  <c r="N87" i="4"/>
  <c r="N71" i="4"/>
  <c r="N39" i="4"/>
  <c r="N23" i="4"/>
  <c r="N6" i="4"/>
  <c r="N90" i="4"/>
  <c r="N86" i="4"/>
  <c r="N82" i="4"/>
  <c r="N78" i="4"/>
  <c r="N70" i="4"/>
  <c r="N66" i="4"/>
  <c r="N62" i="4"/>
  <c r="N58" i="4"/>
  <c r="N50" i="4"/>
  <c r="N46" i="4"/>
  <c r="N42" i="4"/>
  <c r="N38" i="4"/>
  <c r="N34" i="4"/>
  <c r="N30" i="4"/>
  <c r="N26" i="4"/>
  <c r="N22" i="4"/>
  <c r="N18" i="4"/>
  <c r="N14" i="4"/>
  <c r="N10" i="4"/>
  <c r="N89" i="4"/>
  <c r="N85" i="4"/>
  <c r="N81" i="4"/>
  <c r="N77" i="4"/>
  <c r="N73" i="4"/>
  <c r="N65" i="4"/>
  <c r="N61" i="4"/>
  <c r="N49" i="4"/>
  <c r="N45" i="4"/>
  <c r="N41" i="4"/>
  <c r="N37" i="4"/>
  <c r="N33" i="4"/>
  <c r="N29" i="4"/>
  <c r="N25" i="4"/>
  <c r="N21" i="4"/>
  <c r="N17" i="4"/>
  <c r="N13" i="4"/>
  <c r="N9" i="4"/>
  <c r="N88" i="4"/>
  <c r="N84" i="4"/>
  <c r="N80" i="4"/>
  <c r="N76" i="4"/>
  <c r="N72" i="4"/>
  <c r="N68" i="4"/>
  <c r="N64" i="4"/>
  <c r="N56" i="4"/>
  <c r="N52" i="4"/>
  <c r="N48" i="4"/>
  <c r="N44" i="4"/>
  <c r="N40" i="4"/>
  <c r="N36" i="4"/>
  <c r="N32" i="4"/>
  <c r="N28" i="4"/>
  <c r="N24" i="4"/>
  <c r="N20" i="4"/>
  <c r="N16" i="4"/>
  <c r="N12" i="4"/>
  <c r="N8" i="4"/>
  <c r="N7" i="4"/>
  <c r="S37" i="7" l="1"/>
  <c r="Q37" i="7"/>
  <c r="T49" i="8"/>
  <c r="V49" i="8" s="1"/>
  <c r="R49" i="8"/>
  <c r="T63" i="8"/>
  <c r="Q62" i="8"/>
  <c r="Q63" i="8"/>
  <c r="T62" i="8"/>
  <c r="R61" i="8"/>
  <c r="Q61" i="8"/>
  <c r="R10" i="9"/>
  <c r="T10" i="9"/>
  <c r="T49" i="9"/>
  <c r="R49" i="9"/>
  <c r="Q19" i="9"/>
  <c r="Q53" i="9"/>
  <c r="Q26" i="9"/>
  <c r="R19" i="9"/>
  <c r="Q18" i="9"/>
  <c r="R53" i="9"/>
  <c r="T18" i="9"/>
  <c r="R26" i="9"/>
  <c r="R30" i="9"/>
  <c r="Q30" i="9"/>
  <c r="R37" i="9"/>
  <c r="Q37" i="9"/>
  <c r="T25" i="9"/>
  <c r="Q15" i="9"/>
  <c r="R15" i="9"/>
  <c r="Q25" i="9"/>
  <c r="Q12" i="9"/>
  <c r="T12" i="9"/>
  <c r="R12" i="9"/>
  <c r="Q19" i="8"/>
  <c r="T30" i="8"/>
  <c r="T18" i="8"/>
  <c r="R18" i="8"/>
  <c r="R30" i="8"/>
  <c r="R26" i="8"/>
  <c r="T26" i="8"/>
  <c r="Q25" i="8"/>
  <c r="R25" i="8"/>
  <c r="R10" i="8"/>
  <c r="T10" i="8"/>
  <c r="R19" i="8"/>
  <c r="Q39" i="8"/>
  <c r="Q22" i="8"/>
  <c r="R22" i="8"/>
  <c r="R39" i="8"/>
  <c r="Q37" i="8"/>
  <c r="R37" i="8"/>
  <c r="R53" i="8"/>
  <c r="T53" i="8"/>
  <c r="T12" i="8"/>
  <c r="V12" i="8" s="1"/>
  <c r="Q12" i="8"/>
  <c r="Q15" i="8"/>
  <c r="R15" i="8"/>
  <c r="T15" i="8"/>
  <c r="Q12" i="7"/>
  <c r="P12" i="7"/>
  <c r="P37" i="7"/>
  <c r="O39" i="5"/>
  <c r="O74" i="5"/>
  <c r="P74" i="5"/>
  <c r="P53" i="7"/>
  <c r="Q53" i="7"/>
  <c r="Q25" i="7"/>
  <c r="P25" i="7"/>
  <c r="R38" i="5"/>
  <c r="R26" i="5"/>
  <c r="R15" i="5"/>
  <c r="O55" i="5"/>
  <c r="P15" i="5"/>
  <c r="P55" i="5"/>
  <c r="O57" i="5"/>
  <c r="P57" i="5"/>
  <c r="O26" i="5"/>
  <c r="P39" i="5"/>
  <c r="R60" i="5"/>
  <c r="P60" i="5"/>
  <c r="R43" i="5"/>
  <c r="O43" i="5"/>
  <c r="P38" i="5"/>
  <c r="M57" i="4"/>
  <c r="M74" i="4"/>
  <c r="M55" i="4"/>
  <c r="M60" i="4"/>
  <c r="M53" i="4"/>
  <c r="M54" i="4"/>
  <c r="P53" i="5"/>
  <c r="R53" i="5"/>
  <c r="O53" i="5"/>
  <c r="N53" i="4"/>
  <c r="N60" i="4"/>
  <c r="N57" i="4"/>
  <c r="N54" i="4"/>
  <c r="N74" i="4"/>
  <c r="N55" i="4"/>
  <c r="R92" i="9" l="1"/>
  <c r="H96" i="9" s="1"/>
  <c r="T92" i="9"/>
  <c r="R92" i="8"/>
  <c r="H96" i="8" s="1"/>
  <c r="T92" i="8"/>
  <c r="Q92" i="7"/>
  <c r="H96" i="7" s="1"/>
  <c r="S92" i="7"/>
  <c r="R92" i="5"/>
  <c r="P92" i="5"/>
  <c r="H96" i="5" s="1"/>
  <c r="X92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R28" i="4"/>
  <c r="Q28" i="4"/>
  <c r="H28" i="4"/>
  <c r="R27" i="4"/>
  <c r="Q27" i="4"/>
  <c r="H27" i="4"/>
  <c r="R26" i="4"/>
  <c r="Q26" i="4"/>
  <c r="H26" i="4"/>
  <c r="R25" i="4"/>
  <c r="Q25" i="4"/>
  <c r="H25" i="4"/>
  <c r="R24" i="4"/>
  <c r="Q24" i="4"/>
  <c r="H24" i="4"/>
  <c r="R23" i="4"/>
  <c r="Q23" i="4"/>
  <c r="H23" i="4"/>
  <c r="R22" i="4"/>
  <c r="Q22" i="4"/>
  <c r="H22" i="4"/>
  <c r="R21" i="4"/>
  <c r="Q21" i="4"/>
  <c r="H21" i="4"/>
  <c r="R20" i="4"/>
  <c r="Q20" i="4"/>
  <c r="H20" i="4"/>
  <c r="R19" i="4"/>
  <c r="Q19" i="4"/>
  <c r="H19" i="4"/>
  <c r="R18" i="4"/>
  <c r="Q18" i="4"/>
  <c r="H18" i="4"/>
  <c r="R17" i="4"/>
  <c r="Q17" i="4"/>
  <c r="H17" i="4"/>
  <c r="R16" i="4"/>
  <c r="Q16" i="4"/>
  <c r="H16" i="4"/>
  <c r="R15" i="4"/>
  <c r="Q15" i="4"/>
  <c r="H15" i="4"/>
  <c r="R14" i="4"/>
  <c r="Q14" i="4"/>
  <c r="H14" i="4"/>
  <c r="R13" i="4"/>
  <c r="Q13" i="4"/>
  <c r="H13" i="4"/>
  <c r="R12" i="4"/>
  <c r="Q12" i="4"/>
  <c r="H12" i="4"/>
  <c r="R11" i="4"/>
  <c r="Q11" i="4"/>
  <c r="H11" i="4"/>
  <c r="R10" i="4"/>
  <c r="Q10" i="4"/>
  <c r="H10" i="4"/>
  <c r="R9" i="4"/>
  <c r="Q9" i="4"/>
  <c r="H9" i="4"/>
  <c r="R8" i="4"/>
  <c r="Q8" i="4"/>
  <c r="H8" i="4"/>
  <c r="R7" i="4"/>
  <c r="Q7" i="4"/>
  <c r="H7" i="4"/>
  <c r="R6" i="4"/>
  <c r="Q6" i="4"/>
  <c r="H6" i="4"/>
  <c r="H97" i="8" l="1"/>
  <c r="H98" i="8" s="1"/>
  <c r="H103" i="8" s="1"/>
  <c r="H97" i="9"/>
  <c r="H98" i="9" s="1"/>
  <c r="H97" i="7"/>
  <c r="H98" i="7" s="1"/>
  <c r="H103" i="7" s="1"/>
  <c r="N92" i="4"/>
  <c r="H92" i="4"/>
  <c r="H103" i="9" l="1"/>
  <c r="H99" i="9"/>
  <c r="H101" i="9" s="1"/>
  <c r="H99" i="8"/>
  <c r="H101" i="8" s="1"/>
  <c r="H96" i="4"/>
  <c r="H104" i="9" l="1"/>
  <c r="H105" i="9" s="1"/>
  <c r="H107" i="9" s="1"/>
  <c r="H104" i="8"/>
  <c r="H105" i="8" s="1"/>
  <c r="H107" i="8" s="1"/>
  <c r="H97" i="5"/>
  <c r="H99" i="7"/>
  <c r="H101" i="7" s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7" i="3"/>
  <c r="L6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7" i="3"/>
  <c r="H6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P17" i="3"/>
  <c r="O17" i="3"/>
  <c r="P16" i="3"/>
  <c r="O16" i="3"/>
  <c r="P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K7" i="3"/>
  <c r="P6" i="3"/>
  <c r="O6" i="3"/>
  <c r="K6" i="3"/>
  <c r="H104" i="7" l="1"/>
  <c r="H105" i="7" s="1"/>
  <c r="L92" i="3"/>
  <c r="H96" i="3" s="1"/>
  <c r="H92" i="3"/>
  <c r="O15" i="3"/>
  <c r="O18" i="3"/>
  <c r="H98" i="5" l="1"/>
  <c r="H107" i="7"/>
  <c r="H101" i="3"/>
  <c r="H102" i="3" s="1"/>
  <c r="H97" i="4"/>
  <c r="H98" i="4" s="1"/>
  <c r="H99" i="4" s="1"/>
  <c r="H97" i="3"/>
  <c r="H98" i="3" s="1"/>
  <c r="H102" i="5" l="1"/>
  <c r="H99" i="5"/>
  <c r="H104" i="3"/>
  <c r="N3" i="2"/>
  <c r="T3" i="2" s="1"/>
  <c r="N4" i="2"/>
  <c r="T4" i="2" s="1"/>
  <c r="N5" i="2"/>
  <c r="T5" i="2" s="1"/>
  <c r="N6" i="2"/>
  <c r="T6" i="2" s="1"/>
  <c r="N7" i="2"/>
  <c r="T7" i="2" s="1"/>
  <c r="N8" i="2"/>
  <c r="T8" i="2" s="1"/>
  <c r="N9" i="2"/>
  <c r="T9" i="2" s="1"/>
  <c r="N10" i="2"/>
  <c r="T10" i="2" s="1"/>
  <c r="N11" i="2"/>
  <c r="T11" i="2" s="1"/>
  <c r="N12" i="2"/>
  <c r="T12" i="2" s="1"/>
  <c r="N13" i="2"/>
  <c r="T13" i="2" s="1"/>
  <c r="N14" i="2"/>
  <c r="T14" i="2" s="1"/>
  <c r="N15" i="2"/>
  <c r="T15" i="2" s="1"/>
  <c r="N16" i="2"/>
  <c r="T16" i="2" s="1"/>
  <c r="N17" i="2"/>
  <c r="T17" i="2" s="1"/>
  <c r="N18" i="2"/>
  <c r="T18" i="2" s="1"/>
  <c r="N19" i="2"/>
  <c r="T19" i="2" s="1"/>
  <c r="N20" i="2"/>
  <c r="T20" i="2" s="1"/>
  <c r="N21" i="2"/>
  <c r="T21" i="2" s="1"/>
  <c r="N22" i="2"/>
  <c r="T22" i="2" s="1"/>
  <c r="N23" i="2"/>
  <c r="T23" i="2" s="1"/>
  <c r="N24" i="2"/>
  <c r="T24" i="2" s="1"/>
  <c r="N25" i="2"/>
  <c r="T25" i="2" s="1"/>
  <c r="N26" i="2"/>
  <c r="T26" i="2" s="1"/>
  <c r="N27" i="2"/>
  <c r="T27" i="2" s="1"/>
  <c r="N28" i="2"/>
  <c r="T28" i="2" s="1"/>
  <c r="N29" i="2"/>
  <c r="T29" i="2" s="1"/>
  <c r="N30" i="2"/>
  <c r="T30" i="2" s="1"/>
  <c r="N31" i="2"/>
  <c r="T31" i="2" s="1"/>
  <c r="N32" i="2"/>
  <c r="T32" i="2" s="1"/>
  <c r="N33" i="2"/>
  <c r="T33" i="2" s="1"/>
  <c r="N34" i="2"/>
  <c r="T34" i="2" s="1"/>
  <c r="N35" i="2"/>
  <c r="T35" i="2" s="1"/>
  <c r="N36" i="2"/>
  <c r="T36" i="2" s="1"/>
  <c r="N37" i="2"/>
  <c r="T37" i="2" s="1"/>
  <c r="N38" i="2"/>
  <c r="T38" i="2" s="1"/>
  <c r="N39" i="2"/>
  <c r="T39" i="2" s="1"/>
  <c r="N40" i="2"/>
  <c r="T40" i="2" s="1"/>
  <c r="N41" i="2"/>
  <c r="T41" i="2" s="1"/>
  <c r="N42" i="2"/>
  <c r="T42" i="2" s="1"/>
  <c r="N43" i="2"/>
  <c r="T43" i="2" s="1"/>
  <c r="N44" i="2"/>
  <c r="T44" i="2" s="1"/>
  <c r="N45" i="2"/>
  <c r="T45" i="2" s="1"/>
  <c r="N46" i="2"/>
  <c r="T46" i="2" s="1"/>
  <c r="N47" i="2"/>
  <c r="T47" i="2" s="1"/>
  <c r="N48" i="2"/>
  <c r="T48" i="2" s="1"/>
  <c r="N49" i="2"/>
  <c r="T49" i="2" s="1"/>
  <c r="N50" i="2"/>
  <c r="T50" i="2" s="1"/>
  <c r="N51" i="2"/>
  <c r="T51" i="2" s="1"/>
  <c r="N52" i="2"/>
  <c r="T52" i="2" s="1"/>
  <c r="N53" i="2"/>
  <c r="T53" i="2" s="1"/>
  <c r="N54" i="2"/>
  <c r="T54" i="2" s="1"/>
  <c r="N55" i="2"/>
  <c r="T55" i="2" s="1"/>
  <c r="N56" i="2"/>
  <c r="T56" i="2" s="1"/>
  <c r="N57" i="2"/>
  <c r="T57" i="2" s="1"/>
  <c r="N58" i="2"/>
  <c r="T58" i="2" s="1"/>
  <c r="N59" i="2"/>
  <c r="T59" i="2" s="1"/>
  <c r="N60" i="2"/>
  <c r="T60" i="2" s="1"/>
  <c r="N61" i="2"/>
  <c r="T61" i="2" s="1"/>
  <c r="N62" i="2"/>
  <c r="T62" i="2" s="1"/>
  <c r="N63" i="2"/>
  <c r="T63" i="2" s="1"/>
  <c r="N64" i="2"/>
  <c r="T64" i="2" s="1"/>
  <c r="N65" i="2"/>
  <c r="T65" i="2" s="1"/>
  <c r="N66" i="2"/>
  <c r="T66" i="2" s="1"/>
  <c r="N67" i="2"/>
  <c r="T67" i="2" s="1"/>
  <c r="N68" i="2"/>
  <c r="T68" i="2" s="1"/>
  <c r="N69" i="2"/>
  <c r="T69" i="2" s="1"/>
  <c r="N70" i="2"/>
  <c r="T70" i="2" s="1"/>
  <c r="N71" i="2"/>
  <c r="T71" i="2" s="1"/>
  <c r="N72" i="2"/>
  <c r="T72" i="2" s="1"/>
  <c r="N73" i="2"/>
  <c r="T73" i="2" s="1"/>
  <c r="N74" i="2"/>
  <c r="T74" i="2" s="1"/>
  <c r="N75" i="2"/>
  <c r="T75" i="2" s="1"/>
  <c r="N76" i="2"/>
  <c r="T76" i="2" s="1"/>
  <c r="N77" i="2"/>
  <c r="T77" i="2" s="1"/>
  <c r="N78" i="2"/>
  <c r="T78" i="2" s="1"/>
  <c r="N79" i="2"/>
  <c r="T79" i="2" s="1"/>
  <c r="N80" i="2"/>
  <c r="T80" i="2" s="1"/>
  <c r="N81" i="2"/>
  <c r="T81" i="2" s="1"/>
  <c r="N82" i="2"/>
  <c r="T82" i="2" s="1"/>
  <c r="N83" i="2"/>
  <c r="T83" i="2" s="1"/>
  <c r="N84" i="2"/>
  <c r="T84" i="2" s="1"/>
  <c r="N85" i="2"/>
  <c r="T85" i="2" s="1"/>
  <c r="N86" i="2"/>
  <c r="T86" i="2" s="1"/>
  <c r="N2" i="2"/>
  <c r="T2" i="2" s="1"/>
  <c r="P73" i="2"/>
  <c r="Q73" i="2" s="1"/>
  <c r="S73" i="2" s="1"/>
  <c r="P74" i="2"/>
  <c r="Q74" i="2" s="1"/>
  <c r="S74" i="2" s="1"/>
  <c r="P75" i="2"/>
  <c r="Q75" i="2" s="1"/>
  <c r="S75" i="2" s="1"/>
  <c r="P76" i="2"/>
  <c r="Q76" i="2" s="1"/>
  <c r="S76" i="2" s="1"/>
  <c r="P77" i="2"/>
  <c r="Q77" i="2" s="1"/>
  <c r="S77" i="2" s="1"/>
  <c r="P78" i="2"/>
  <c r="Q78" i="2" s="1"/>
  <c r="S78" i="2" s="1"/>
  <c r="P79" i="2"/>
  <c r="Q79" i="2" s="1"/>
  <c r="S79" i="2" s="1"/>
  <c r="P80" i="2"/>
  <c r="Q80" i="2" s="1"/>
  <c r="S80" i="2" s="1"/>
  <c r="P81" i="2"/>
  <c r="Q81" i="2" s="1"/>
  <c r="S81" i="2" s="1"/>
  <c r="P82" i="2"/>
  <c r="Q82" i="2" s="1"/>
  <c r="S82" i="2" s="1"/>
  <c r="P83" i="2"/>
  <c r="Q83" i="2" s="1"/>
  <c r="S83" i="2" s="1"/>
  <c r="P84" i="2"/>
  <c r="Q84" i="2" s="1"/>
  <c r="S84" i="2" s="1"/>
  <c r="P85" i="2"/>
  <c r="Q85" i="2" s="1"/>
  <c r="S85" i="2" s="1"/>
  <c r="P86" i="2"/>
  <c r="Q86" i="2" s="1"/>
  <c r="S86" i="2" s="1"/>
  <c r="P56" i="2"/>
  <c r="Q56" i="2" s="1"/>
  <c r="S56" i="2" s="1"/>
  <c r="P45" i="2"/>
  <c r="Q45" i="2" s="1"/>
  <c r="S45" i="2" s="1"/>
  <c r="P43" i="2"/>
  <c r="Q43" i="2" s="1"/>
  <c r="S43" i="2" s="1"/>
  <c r="P37" i="2"/>
  <c r="Q37" i="2" s="1"/>
  <c r="S37" i="2" s="1"/>
  <c r="P31" i="2"/>
  <c r="Q31" i="2" s="1"/>
  <c r="S31" i="2" s="1"/>
  <c r="P72" i="2"/>
  <c r="Q72" i="2" s="1"/>
  <c r="S72" i="2" s="1"/>
  <c r="P3" i="2"/>
  <c r="Q3" i="2" s="1"/>
  <c r="S3" i="2" s="1"/>
  <c r="P4" i="2"/>
  <c r="Q4" i="2" s="1"/>
  <c r="S4" i="2" s="1"/>
  <c r="P5" i="2"/>
  <c r="Q5" i="2" s="1"/>
  <c r="S5" i="2" s="1"/>
  <c r="P6" i="2"/>
  <c r="Q6" i="2" s="1"/>
  <c r="S6" i="2" s="1"/>
  <c r="P7" i="2"/>
  <c r="Q7" i="2" s="1"/>
  <c r="S7" i="2" s="1"/>
  <c r="P8" i="2"/>
  <c r="Q8" i="2" s="1"/>
  <c r="S8" i="2" s="1"/>
  <c r="P9" i="2"/>
  <c r="Q9" i="2" s="1"/>
  <c r="S9" i="2" s="1"/>
  <c r="P10" i="2"/>
  <c r="Q10" i="2" s="1"/>
  <c r="S10" i="2" s="1"/>
  <c r="P11" i="2"/>
  <c r="Q11" i="2" s="1"/>
  <c r="S11" i="2" s="1"/>
  <c r="P12" i="2"/>
  <c r="Q12" i="2" s="1"/>
  <c r="S12" i="2" s="1"/>
  <c r="P13" i="2"/>
  <c r="Q13" i="2" s="1"/>
  <c r="S13" i="2" s="1"/>
  <c r="P14" i="2"/>
  <c r="Q14" i="2" s="1"/>
  <c r="S14" i="2" s="1"/>
  <c r="P15" i="2"/>
  <c r="Q15" i="2" s="1"/>
  <c r="S15" i="2" s="1"/>
  <c r="P16" i="2"/>
  <c r="Q16" i="2" s="1"/>
  <c r="S16" i="2" s="1"/>
  <c r="P17" i="2"/>
  <c r="Q17" i="2" s="1"/>
  <c r="S17" i="2" s="1"/>
  <c r="P18" i="2"/>
  <c r="Q18" i="2" s="1"/>
  <c r="S18" i="2" s="1"/>
  <c r="P19" i="2"/>
  <c r="Q19" i="2" s="1"/>
  <c r="S19" i="2" s="1"/>
  <c r="P20" i="2"/>
  <c r="Q20" i="2" s="1"/>
  <c r="S20" i="2" s="1"/>
  <c r="P21" i="2"/>
  <c r="Q21" i="2" s="1"/>
  <c r="S21" i="2" s="1"/>
  <c r="P22" i="2"/>
  <c r="Q22" i="2" s="1"/>
  <c r="S22" i="2" s="1"/>
  <c r="P23" i="2"/>
  <c r="Q23" i="2" s="1"/>
  <c r="S23" i="2" s="1"/>
  <c r="P24" i="2"/>
  <c r="Q24" i="2" s="1"/>
  <c r="S24" i="2" s="1"/>
  <c r="P25" i="2"/>
  <c r="Q25" i="2" s="1"/>
  <c r="S25" i="2" s="1"/>
  <c r="P26" i="2"/>
  <c r="Q26" i="2" s="1"/>
  <c r="S26" i="2" s="1"/>
  <c r="P27" i="2"/>
  <c r="Q27" i="2" s="1"/>
  <c r="S27" i="2" s="1"/>
  <c r="P28" i="2"/>
  <c r="Q28" i="2" s="1"/>
  <c r="S28" i="2" s="1"/>
  <c r="P29" i="2"/>
  <c r="Q29" i="2" s="1"/>
  <c r="S29" i="2" s="1"/>
  <c r="P30" i="2"/>
  <c r="Q30" i="2" s="1"/>
  <c r="S30" i="2" s="1"/>
  <c r="P32" i="2"/>
  <c r="Q32" i="2" s="1"/>
  <c r="S32" i="2" s="1"/>
  <c r="P33" i="2"/>
  <c r="Q33" i="2" s="1"/>
  <c r="S33" i="2" s="1"/>
  <c r="P34" i="2"/>
  <c r="Q34" i="2" s="1"/>
  <c r="S34" i="2" s="1"/>
  <c r="P35" i="2"/>
  <c r="Q35" i="2" s="1"/>
  <c r="S35" i="2" s="1"/>
  <c r="P36" i="2"/>
  <c r="Q36" i="2" s="1"/>
  <c r="S36" i="2" s="1"/>
  <c r="P38" i="2"/>
  <c r="Q38" i="2" s="1"/>
  <c r="S38" i="2" s="1"/>
  <c r="P39" i="2"/>
  <c r="Q39" i="2" s="1"/>
  <c r="S39" i="2" s="1"/>
  <c r="P40" i="2"/>
  <c r="Q40" i="2" s="1"/>
  <c r="S40" i="2" s="1"/>
  <c r="P41" i="2"/>
  <c r="Q41" i="2" s="1"/>
  <c r="S41" i="2" s="1"/>
  <c r="P42" i="2"/>
  <c r="Q42" i="2" s="1"/>
  <c r="S42" i="2" s="1"/>
  <c r="P44" i="2"/>
  <c r="Q44" i="2" s="1"/>
  <c r="S44" i="2" s="1"/>
  <c r="P46" i="2"/>
  <c r="Q46" i="2" s="1"/>
  <c r="S46" i="2" s="1"/>
  <c r="P47" i="2"/>
  <c r="Q47" i="2" s="1"/>
  <c r="S47" i="2" s="1"/>
  <c r="P48" i="2"/>
  <c r="Q48" i="2" s="1"/>
  <c r="S48" i="2" s="1"/>
  <c r="P49" i="2"/>
  <c r="Q49" i="2" s="1"/>
  <c r="S49" i="2" s="1"/>
  <c r="P50" i="2"/>
  <c r="Q50" i="2" s="1"/>
  <c r="S50" i="2" s="1"/>
  <c r="P51" i="2"/>
  <c r="Q51" i="2" s="1"/>
  <c r="S51" i="2" s="1"/>
  <c r="P52" i="2"/>
  <c r="Q52" i="2" s="1"/>
  <c r="S52" i="2" s="1"/>
  <c r="P53" i="2"/>
  <c r="Q53" i="2" s="1"/>
  <c r="S53" i="2" s="1"/>
  <c r="P54" i="2"/>
  <c r="Q54" i="2" s="1"/>
  <c r="S54" i="2" s="1"/>
  <c r="P55" i="2"/>
  <c r="Q55" i="2" s="1"/>
  <c r="S55" i="2" s="1"/>
  <c r="P57" i="2"/>
  <c r="Q57" i="2" s="1"/>
  <c r="S57" i="2" s="1"/>
  <c r="P58" i="2"/>
  <c r="Q58" i="2" s="1"/>
  <c r="S58" i="2" s="1"/>
  <c r="P59" i="2"/>
  <c r="Q59" i="2" s="1"/>
  <c r="S59" i="2" s="1"/>
  <c r="P60" i="2"/>
  <c r="Q60" i="2" s="1"/>
  <c r="S60" i="2" s="1"/>
  <c r="P61" i="2"/>
  <c r="Q61" i="2" s="1"/>
  <c r="S61" i="2" s="1"/>
  <c r="P62" i="2"/>
  <c r="Q62" i="2" s="1"/>
  <c r="S62" i="2" s="1"/>
  <c r="P63" i="2"/>
  <c r="Q63" i="2" s="1"/>
  <c r="S63" i="2" s="1"/>
  <c r="P64" i="2"/>
  <c r="Q64" i="2" s="1"/>
  <c r="S64" i="2" s="1"/>
  <c r="P65" i="2"/>
  <c r="Q65" i="2" s="1"/>
  <c r="S65" i="2" s="1"/>
  <c r="P66" i="2"/>
  <c r="Q66" i="2" s="1"/>
  <c r="S66" i="2" s="1"/>
  <c r="P67" i="2"/>
  <c r="Q67" i="2" s="1"/>
  <c r="S67" i="2" s="1"/>
  <c r="P68" i="2"/>
  <c r="Q68" i="2" s="1"/>
  <c r="S68" i="2" s="1"/>
  <c r="P69" i="2"/>
  <c r="Q69" i="2" s="1"/>
  <c r="S69" i="2" s="1"/>
  <c r="P70" i="2"/>
  <c r="Q70" i="2" s="1"/>
  <c r="S70" i="2" s="1"/>
  <c r="P71" i="2"/>
  <c r="Q71" i="2" s="1"/>
  <c r="S71" i="2" s="1"/>
  <c r="P2" i="2"/>
  <c r="Q2" i="2" s="1"/>
  <c r="S2" i="2" s="1"/>
  <c r="H105" i="5" l="1"/>
  <c r="H103" i="5"/>
  <c r="H104" i="5" s="1"/>
  <c r="H100" i="5"/>
  <c r="H103" i="4"/>
  <c r="H104" i="4" s="1"/>
  <c r="H106" i="5" l="1"/>
  <c r="H111" i="5"/>
  <c r="H112" i="5" s="1"/>
  <c r="H100" i="4"/>
  <c r="H106" i="4" s="1"/>
  <c r="H114" i="5" l="1"/>
</calcChain>
</file>

<file path=xl/sharedStrings.xml><?xml version="1.0" encoding="utf-8"?>
<sst xmlns="http://schemas.openxmlformats.org/spreadsheetml/2006/main" count="4365" uniqueCount="510">
  <si>
    <t>#</t>
  </si>
  <si>
    <t>Opi No.</t>
  </si>
  <si>
    <t>Date</t>
  </si>
  <si>
    <t>Packing List No.</t>
  </si>
  <si>
    <t>Purchase Order</t>
  </si>
  <si>
    <t>Vendor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</si>
  <si>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</si>
  <si>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</si>
  <si>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</si>
  <si>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</si>
  <si>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</si>
  <si>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</si>
  <si>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</si>
  <si>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</si>
  <si>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</si>
  <si>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</si>
  <si>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</si>
  <si>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</si>
  <si>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</si>
  <si>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</si>
  <si>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</si>
  <si>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</si>
  <si>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OPI-JAY-098-001</t>
  </si>
  <si>
    <t>SACR-PL-JAY-098-001</t>
  </si>
  <si>
    <t>ADSH-P-PO-GE-098</t>
  </si>
  <si>
    <t>jahanayegh</t>
  </si>
  <si>
    <t>1</t>
  </si>
  <si>
    <t>Main Item</t>
  </si>
  <si>
    <t>-</t>
  </si>
  <si>
    <t>4YYXYYG06</t>
  </si>
  <si>
    <t>6" , Thk. 60mm ,Hot Insulation, Mineral wool ASTM C547,  Class II density 80 kg/m3~120 kg/m3, Sectional Pipe</t>
  </si>
  <si>
    <t>Meter</t>
  </si>
  <si>
    <t>OPI-JAY-098-002</t>
  </si>
  <si>
    <t>SACR-PL-JAY-098-002</t>
  </si>
  <si>
    <t>2</t>
  </si>
  <si>
    <t>4YYXYYE0D</t>
  </si>
  <si>
    <t>1/2" , Thk. 40mm ,Hot Insulation, Mineral wool ASTM C547,  Class II, density 80 kg/m3~120 kg/m3, Sectional Pipe</t>
  </si>
  <si>
    <t>4YYXYYF0D</t>
  </si>
  <si>
    <t>1/2" , Thk. 50mm ,Hot Insulation, Mineral wool ASTM C547,  Class II density 80 kg/m3~120 kg/m3, Sectional Pipe</t>
  </si>
  <si>
    <t>4YYXYYF01</t>
  </si>
  <si>
    <t>1" , Thk. 50mm ,Hot Insulation, Mineral wool ASTM C547,  Class II density 80 kg/m3~120 kg/m3, Sectional Pipe</t>
  </si>
  <si>
    <t>4YYXYYD02</t>
  </si>
  <si>
    <t>2" , Thk. 30mm ,Hot Insulation, Mineral wool ASTM C547,  Class II density 80 kg/m3~120 kg/m3, Sectional Pipe</t>
  </si>
  <si>
    <t>4YYXYYD06</t>
  </si>
  <si>
    <t>6" , Thk. 30mm ,Hot Insulation, Mineral wool ASTM C547,  Class II density 80 kg/m3~120 kg/m3, Sectional Pipe</t>
  </si>
  <si>
    <t>OPI-JAY-098-003</t>
  </si>
  <si>
    <t>SACR-PL-JAY-098-003</t>
  </si>
  <si>
    <t>3</t>
  </si>
  <si>
    <t>4YYXYYD0E</t>
  </si>
  <si>
    <t>3/4" , Thk. 30mm ,Hot Insulation, Mineral wool ASTM C547,  Class II density 80 kg/m3~120 kg/m3, Sectional Pipe</t>
  </si>
  <si>
    <t>4YYXYYE0E</t>
  </si>
  <si>
    <t>3/4" , Thk. 40mm ,Hot Insulation, Mineral wool ASTM C547,  Class II density 80 kg/m3~120 kg/m3, Sectional Pipe</t>
  </si>
  <si>
    <t>4YYXYYF0E</t>
  </si>
  <si>
    <t>3/4" , Thk. 50mm ,Hot Insulation, Mineral wool ASTM C547,  Class II density 80 kg/m3~120 kg/m3, Sectional Pipe</t>
  </si>
  <si>
    <t>4YYXYYF02</t>
  </si>
  <si>
    <t>2" , Thk. 50mm ,Hot Insulation, Mineral wool ASTM C547,  Class II density 80 kg/m3~120 kg/m3, Sectional Pipe</t>
  </si>
  <si>
    <t>4YYXYYF06</t>
  </si>
  <si>
    <t>6" , Thk. 50mm ,Hot Insulation, Mineral wool ASTM C547,  Class II density 80 kg/m3~120 kg/m3, Sectional Pipe</t>
  </si>
  <si>
    <t>4YYXYYF08</t>
  </si>
  <si>
    <t>8" , Thk. 50mm ,Hot Insulation, Mineral wool ASTM C547,  Class II density 80 kg/m3~120 kg/m3, Sectional Pipe</t>
  </si>
  <si>
    <t>OPI-JAY-098-005</t>
  </si>
  <si>
    <t>SACR-PL-JAY-098-004</t>
  </si>
  <si>
    <t>4</t>
  </si>
  <si>
    <t>4YYZZYB</t>
  </si>
  <si>
    <t>0.8 mm Thickness Metal Jacketing-ASTM B 209, type 1100  Wrought Aluminum Alloy</t>
  </si>
  <si>
    <t>Sq. Meter</t>
  </si>
  <si>
    <t>4YYZZYC</t>
  </si>
  <si>
    <t>1 mm Thickness Metal Jacketing-ASTM B 209, type 1100  Wrought Aluminum Alloy</t>
  </si>
  <si>
    <t>OPI-JAY-098-004</t>
  </si>
  <si>
    <t>SACR-PL-JAY-098-005</t>
  </si>
  <si>
    <t>5</t>
  </si>
  <si>
    <t>4YYXYYH10</t>
  </si>
  <si>
    <t>10" , Thk. 70mm ,Hot Insulation, Mineral wool ASTM C547,  Class II density 80 kg/m3~120 kg/m3, Sectional Pipe</t>
  </si>
  <si>
    <t>180بسته 1متری</t>
  </si>
  <si>
    <t>OPI-JAY-098-006</t>
  </si>
  <si>
    <t>SACR-PL-JAY-098-006</t>
  </si>
  <si>
    <t>6</t>
  </si>
  <si>
    <t>4YYXYYH06</t>
  </si>
  <si>
    <t>6" , Thk. 70mm ,Hot Insulation, Mineral wool ASTM C547,  Class II density 80 kg/m3~120 kg/m3, Sectional Pipe</t>
  </si>
  <si>
    <t>OPI-JAY-098-007</t>
  </si>
  <si>
    <t>SACR-PL-JAY-098-007</t>
  </si>
  <si>
    <t>7</t>
  </si>
  <si>
    <t>4YYXYYE03</t>
  </si>
  <si>
    <t>3" , Thk. 40mm ,Hot Insulation, Mineral wool ASTM C547,  Class II density 80 kg/m3~120 kg/m3, Sectional Pipe</t>
  </si>
  <si>
    <t>OPI-JAY-098-008</t>
  </si>
  <si>
    <t>SACR-PL-JAY-098-008</t>
  </si>
  <si>
    <t>8</t>
  </si>
  <si>
    <t>4YYZZYA</t>
  </si>
  <si>
    <t>0.6 mm Thickness Metal Jacketing-ASTM B 209, type 1100  Wrought Aluminum Alloy</t>
  </si>
  <si>
    <t>Sub Item</t>
  </si>
  <si>
    <t>Insulation-Acc</t>
  </si>
  <si>
    <t>ACCESSORY</t>
  </si>
  <si>
    <t>تسمه استنلس استیل سایز    0/5  * 13 میلیمتر</t>
  </si>
  <si>
    <t>تسمه استنلس استیل سایز 0/5*19 میلیمتر</t>
  </si>
  <si>
    <t>بست استنلس استیل سایز  0/5*13 میلیمتر</t>
  </si>
  <si>
    <t>Piece</t>
  </si>
  <si>
    <t>بست استنلس استیل سایز 0/5*19میلیمتر</t>
  </si>
  <si>
    <t>پیچ استنلس استیل سایز 13*4/8 میلیمتر</t>
  </si>
  <si>
    <t>پیچ استنلس استیل سایز 9/5*4/2 میلیمتر</t>
  </si>
  <si>
    <t>واشر نئو پرن</t>
  </si>
  <si>
    <t>S کلیپس</t>
  </si>
  <si>
    <t>سیم استنلس استیل به قطر 1 میلیمتر</t>
  </si>
  <si>
    <t>نوار چسب نخ دار تقویت شده فیلامنت با عرض 50 میلی متر</t>
  </si>
  <si>
    <t>Roll</t>
  </si>
  <si>
    <t>Vapour Barrier Mastic JAP 60-90</t>
  </si>
  <si>
    <t>Kg</t>
  </si>
  <si>
    <t>Joint Sealant Mastic JAP 81-84</t>
  </si>
  <si>
    <t>Glass Cloth Mesh</t>
  </si>
  <si>
    <t>OPI-JAY-098-009</t>
  </si>
  <si>
    <t>SACR-PL-JAY-098-009</t>
  </si>
  <si>
    <t>9</t>
  </si>
  <si>
    <t>4YYXYYD03</t>
  </si>
  <si>
    <t>3" , Thk. 30mm ,Hot Insulation, Mineral wool ASTM C547,  Class II density 80 kg/m3~120 kg/m3, Sectional Pipe</t>
  </si>
  <si>
    <t>Identity</t>
  </si>
  <si>
    <t>Supply</t>
  </si>
  <si>
    <t>Packing List</t>
  </si>
  <si>
    <t>Receipt</t>
  </si>
  <si>
    <t>Bulk</t>
  </si>
  <si>
    <t>4YYXYYD0D</t>
  </si>
  <si>
    <t>1/2" , Thk. 30mm ,Hot Insulation, Mineral wool ASTM C547, Class II , density 80 kg/m3~120 kg/m3, Sectional Pipe</t>
  </si>
  <si>
    <t>1/2" , Thk. 40mm ,Hot Insulation, Mineral wool ASTM C547, Class II, density 80 kg/m3~120 kg/m3, Sectional Pipe</t>
  </si>
  <si>
    <t>1/2" , Thk. 50mm ,Hot Insulation, Mineral wool ASTM C547, Class II density 80 kg/m3~120 kg/m3, Sectional Pipe</t>
  </si>
  <si>
    <t>3/4" , Thk. 30mm ,Hot Insulation, Mineral wool ASTM C547, Class II density 80 kg/m3~120 kg/m3, Sectional Pipe</t>
  </si>
  <si>
    <t>3/4" , Thk. 40mm ,Hot Insulation, Mineral wool ASTM C547, Class II density 80 kg/m3~120 kg/m3, Sectional Pipe</t>
  </si>
  <si>
    <t>3/4" , Thk. 50mm ,Hot Insulation, Mineral wool ASTM C547, Class II density 80 kg/m3~120 kg/m3, Sectional Pipe</t>
  </si>
  <si>
    <t>4YYXYYD01</t>
  </si>
  <si>
    <t>1" , Thk. 30mm ,Hot Insulation, Mineral wool ASTM C547, Class II density 80 kg/m3~120 kg/m3, Sectional Pipe</t>
  </si>
  <si>
    <t>4YYXYYE01</t>
  </si>
  <si>
    <t>1" , Thk. 40mm ,Hot Insulation, Mineral wool ASTM C547, Class II density 80 kg/m3~120 kg/m3, Sectional Pipe</t>
  </si>
  <si>
    <t>1" , Thk. 50mm ,Hot Insulation, Mineral wool ASTM C547, Class II density 80 kg/m3~120 kg/m3, Sectional Pipe</t>
  </si>
  <si>
    <t>4YYXYYD1B</t>
  </si>
  <si>
    <t>1 1/2" , Thk. 30mm ,Hot Insulation, Mineral wool ASTM C547, Class II density 80 kg/m3~120 kg/m3, Sectional Pipe</t>
  </si>
  <si>
    <t>4YYXYYE1B</t>
  </si>
  <si>
    <t>1 1/2" , Thk. 40mm ,Hot Insulation, Mineral wool ASTM C547, Class II density 80 kg/m3~120 kg/m3, Sectional Pipe</t>
  </si>
  <si>
    <t>4YYXYYF1B</t>
  </si>
  <si>
    <t>1 1/2" , Thk. 50mm ,Hot Insulation, Mineral wool ASTM C547, Class II density 80 kg/m3~120 kg/m3, Sectional Pipe</t>
  </si>
  <si>
    <t>2" , Thk. 30mm ,Hot Insulation, Mineral wool ASTM C547, Class II density 80 kg/m3~120 kg/m3, Sectional Pipe</t>
  </si>
  <si>
    <t>4YYXYYE02</t>
  </si>
  <si>
    <t>2" , Thk. 40mm ,Hot Insulation, Mineral wool ASTM C547, Class II density 80 kg/m3~120 kg/m3, Sectional Pipe</t>
  </si>
  <si>
    <t>2" , Thk. 50mm ,Hot Insulation, Mineral wool ASTM C547, Class II density 80 kg/m3~120 kg/m3, Sectional Pipe</t>
  </si>
  <si>
    <t>4YYXYYG02</t>
  </si>
  <si>
    <t>2" , Thk. 60mm ,Hot Insulation, Mineral wool ASTM C547, Class II density 80 kg/m3~120 kg/m3, Sectional Pipe</t>
  </si>
  <si>
    <t>3" , Thk. 30mm ,Hot Insulation, Mineral wool ASTM C547, Class II density 80 kg/m3~120 kg/m3, Sectional Pipe</t>
  </si>
  <si>
    <t>3" , Thk. 40mm ,Hot Insulation, Mineral wool ASTM C547, Class II density 80 kg/m3~120 kg/m3, Sectional Pipe</t>
  </si>
  <si>
    <t>4YYXYYF03</t>
  </si>
  <si>
    <t>3" , Thk. 50mm ,Hot Insulation, Mineral wool ASTM C547, Class II density 80 kg/m3~120 kg/m3, Sectional Pipe</t>
  </si>
  <si>
    <t>4YYXYYD04</t>
  </si>
  <si>
    <t>4" , Thk. 30mm ,Hot Insulation, Mineral wool ASTM C547, Class II density 80 kg/m3~120 kg/m3, Sectional Pipe</t>
  </si>
  <si>
    <t>4YYXYYE04</t>
  </si>
  <si>
    <t>4" , Thk. 40mm ,Hot Insulation, Mineral wool ASTM C547, Class II density 80 kg/m3~120 kg/m3, Sectional Pipe</t>
  </si>
  <si>
    <t>4YYXYYF04</t>
  </si>
  <si>
    <t>4" , Thk. 50mm ,Hot Insulation, Mineral wool ASTM C547, Class II density 80 kg/m3~120 kg/m3, Sectional Pipe</t>
  </si>
  <si>
    <t>4YYXYYG04</t>
  </si>
  <si>
    <t>4" , Thk. 60mm ,Hot Insulation, Mineral wool ASTM C547, Class II density 80 kg/m3~120 kg/m3, Sectional Pipe</t>
  </si>
  <si>
    <t>6" , Thk. 30mm ,Hot Insulation, Mineral wool ASTM C547, Class II density 80 kg/m3~120 kg/m3, Sectional Pipe</t>
  </si>
  <si>
    <t>4YYXYYE06</t>
  </si>
  <si>
    <t>6" , Thk. 40mm ,Hot Insulation, Mineral wool ASTM C547, Class II density 80 kg/m3~120 kg/m3, Sectional Pipe</t>
  </si>
  <si>
    <t>6" , Thk. 50mm ,Hot Insulation, Mineral wool ASTM C547, Class II density 80 kg/m3~120 kg/m3, Sectional Pipe</t>
  </si>
  <si>
    <t>6" , Thk. 60mm ,Hot Insulation, Mineral wool ASTM C547, Class II density 80 kg/m3~120 kg/m3, Sectional Pipe</t>
  </si>
  <si>
    <t>6" , Thk. 70mm ,Hot Insulation, Mineral wool ASTM C547, Class II density 80 kg/m3~120 kg/m3, Sectional Pipe</t>
  </si>
  <si>
    <t>4YYXYYI06</t>
  </si>
  <si>
    <t>6" , Thk. 80mm ,Hot Insulation, Mineral wool ASTM C547, Class II density 80 kg/m3~120 kg/m3, Sectional Pipe</t>
  </si>
  <si>
    <t>4YYXYYD08</t>
  </si>
  <si>
    <t>8" , Thk. 30mm ,Hot Insulation, Mineral wool ASTM C547, Class II density 80 kg/m3~120 kg/m3, Sectional Pipe</t>
  </si>
  <si>
    <t>8" , Thk. 50mm ,Hot Insulation, Mineral wool ASTM C547, Class II density 80 kg/m3~120 kg/m3, Sectional Pipe</t>
  </si>
  <si>
    <t>4YYXYYG08</t>
  </si>
  <si>
    <t>8" , Thk. 60mm ,Hot Insulation, Mineral wool ASTM C547, Class II density 80 kg/m3~120 kg/m3, Sectional Pipe</t>
  </si>
  <si>
    <t>4YYXYYH08</t>
  </si>
  <si>
    <t>8" , Thk. 70mm ,Hot Insulation, Mineral wool ASTM C547, Class II density 80 kg/m3~120 kg/m3, Sectional Pipe</t>
  </si>
  <si>
    <t>4YYXYYI08</t>
  </si>
  <si>
    <t>8" , Thk. 80mm ,Hot Insulation, Mineral wool ASTM C547, Class II density 80 kg/m3~120 kg/m3, Sectional Pipe</t>
  </si>
  <si>
    <t>4YYXYYD10</t>
  </si>
  <si>
    <t>10" , Thk. 30mm ,Hot Insulation, Mineral wool ASTM C547, Class II density 80 kg/m3~120 kg/m3, Sectional Pipe</t>
  </si>
  <si>
    <t>4YYXYYF10</t>
  </si>
  <si>
    <t>10" , Thk. 50mm ,Hot Insulation, Mineral wool ASTM C547, Class II density 80 kg/m3~120 kg/m3, Sectional Pipe</t>
  </si>
  <si>
    <t>4YYXYYG10</t>
  </si>
  <si>
    <t>10" , Thk. 60mm ,Hot Insulation, Mineral wool ASTM C547, Class II density 80 kg/m3~120 kg/m3, Sectional Pipe</t>
  </si>
  <si>
    <t>10" , Thk. 70mm ,Hot Insulation, Mineral wool ASTM C547, Class II density 80 kg/m3~120 kg/m3, Sectional Pipe</t>
  </si>
  <si>
    <t>4YYXYYI10</t>
  </si>
  <si>
    <t>10" , Thk. 80mm ,Hot Insulation, Mineral wool ASTM C547, Class II density 80 kg/m3~120 kg/m3, Sectional Pipe</t>
  </si>
  <si>
    <t>4YYXYYJ10</t>
  </si>
  <si>
    <t>10" , Thk. 90mm ,Hot Insulation, Mineral wool ASTM C547, Class II density 80 kg/m3~120 kg/m3, Sectional Pipe</t>
  </si>
  <si>
    <t>4YYYYYE0E</t>
  </si>
  <si>
    <t>3/4" , Thk. 40mm ,Cold Insulation,Polyisocyanurate rigid foam,density 125 kg/m3, Sectional Pipe,as per ASTM C591</t>
  </si>
  <si>
    <t>4YYYYYD01</t>
  </si>
  <si>
    <t>1" , Thk. 30mm ,Cold Insulation,Polyisocyanurate rigid foam, density 125 kg/m3,Sectional Pipe,as per ASTM C591</t>
  </si>
  <si>
    <t>4YYXXYD</t>
  </si>
  <si>
    <t>Hot Insulation, Mineral Wool, Blanket,Thk. 30mm , ASTM C592,Class II, density 80 kg/m3~120 kg/m3, With 0.9mm 1 side stitched galvanized wire</t>
  </si>
  <si>
    <t>4YYXXYF</t>
  </si>
  <si>
    <t>Hot Insulation, Mineral Wool, Blanket,Thk. 50mm , ASTM C592,Class II, density 80 kg/m3~120 kg/m3, With 0.9mm 1 side stitched galvanized wire</t>
  </si>
  <si>
    <t>4YYXXYG</t>
  </si>
  <si>
    <t>Hot Insulation, Mineral Wool, Blanket,Thk. 60mm , ASTM C592,Class II, density 80 kg/m3~120 kg/m3, With 0.9mm 1 side stitched galvanized wire</t>
  </si>
  <si>
    <t>4YYXXYH</t>
  </si>
  <si>
    <t>Hot Insulation, Mineral Wool, Blanket, Thk. 70mm , ASTM C592,Class II, density 80 kg/m3~120 kg/m3, With 0.9mm 1 side stitched galvanized wire</t>
  </si>
  <si>
    <t>4YYXXYI</t>
  </si>
  <si>
    <t>Hot Insulation, Mineral Wool, Blanket,Thk. 80mm , ASTM C592,Class II, density 80 kg/m3~120 kg/m3, With 0.9mm 1 side stitched galvanized wire</t>
  </si>
  <si>
    <t>4YYXXYJ</t>
  </si>
  <si>
    <t>Hot Insulation, Mineral Wool, Blanket,Thk. 90mm , ASTM C592,Class II, density 80 kg/m3~120 kg/m3, With 0.9mm 1 side stitched galvanized wire</t>
  </si>
  <si>
    <t>4YYXXYK</t>
  </si>
  <si>
    <t>Hot Insulation, Mineral Wool, Blanket,Thk. 100mm , ASTM C592,Class II, density 80 kg/m3~120 kg/m3, With 0.9mm 1 side stitched galvanized wire</t>
  </si>
  <si>
    <t>4YYXXYL</t>
  </si>
  <si>
    <t>Hot Insulation, Mineral Wool, Blanket,Thk. 110mm , ASTM C592,Class II, density 80 kg/m3~120 kg/m3, With 0.9mm 1 side stitched galvanized wire</t>
  </si>
  <si>
    <t>0.6 mm Thickness Metal Jacketing-ASTM B 209, type 1100 Wrought Aluminum Alloy</t>
  </si>
  <si>
    <t>0.8 mm Thickness Metal Jacketing-ASTM B 209, type 1100 Wrought Aluminum Alloy</t>
  </si>
  <si>
    <t>1 mm Thickness Metal Jacketing-ASTM B 209, type 1100 Wrought Aluminum Alloy</t>
  </si>
  <si>
    <t>Accessories for Insulation</t>
  </si>
  <si>
    <t>Set</t>
  </si>
  <si>
    <t>4YYYYYD0D</t>
  </si>
  <si>
    <t>1/2" , Thk. 30mm ,Cold Insulation,Polyisocyanurate rigid foam,density 125 kg/m3, Sectional Pipe,as per ASTM C589</t>
  </si>
  <si>
    <t>4YYYYYD0E</t>
  </si>
  <si>
    <t>3/4" , Thk. 30mm ,Cold Insulation,Polyisocyanurate rigid foam,density 125 kg/m3, Sectional Pipe,as per ASTM C590</t>
  </si>
  <si>
    <t>4YYYYYD1B</t>
  </si>
  <si>
    <t>1 1/2" , Thk. 30mm ,Cold Insulation,Polyisocyanurate rigid foam, density 125 kg/m3,Sectional Pipe,as per ASTM C592</t>
  </si>
  <si>
    <t>4YYYYYE1B</t>
  </si>
  <si>
    <t>1 1/2" , Thk. 40mm ,Cold Insulation,Polyisocyanurate rigid foam, density 125 kg/m3,Sectional Pipe,as per ASTM C592</t>
  </si>
  <si>
    <t>4YYYYYE01</t>
  </si>
  <si>
    <t>1" , Thk. 40mm ,Cold Insulation,Polyisocyanurate rigid foam, density 125 kg/m3,Sectional Pipe,as per ASTM C592</t>
  </si>
  <si>
    <t>4YYYYYD02</t>
  </si>
  <si>
    <t>2" , Thk. 30mm ,Cold Insulation,Polyisocyanurate rigid foam, density 125 kg/m3,Sectional Pipe,as per ASTM C592</t>
  </si>
  <si>
    <t>4YYYYYD03</t>
  </si>
  <si>
    <t>3" , Thk. 30mm ,Cold Insulation,Polyisocyanurate rigid foam, density 125 kg/m3,Sectional Pipe,as per ASTM C591</t>
  </si>
  <si>
    <t>4YYYYYE03</t>
  </si>
  <si>
    <t>3" , Thk. 40mm ,Cold Insulation,Polyisocyanurate rigid foam, density 125 kg/m3,Sectional Pipe,as per ASTM C592</t>
  </si>
  <si>
    <t>4YYYYYE04</t>
  </si>
  <si>
    <t>4" , Thk. 40mm ,Cold Insulation,Polyisocyanurate rigid foam, density 125 kg/m3,Sectional Pipe,as per ASTM C591</t>
  </si>
  <si>
    <t>4YYYYYF04</t>
  </si>
  <si>
    <t>4" , Thk. 50mm ,Cold Insulation,Polyisocyanurate rigid foam, density 125 kg/m3,Sectional Pipe,as per ASTM C592</t>
  </si>
  <si>
    <t>4YYYYYE06</t>
  </si>
  <si>
    <t>6" , Thk. 40mm ,Cold Insulation,Polyisocyanurate rigid foam, density 125 kg/m3,Sectional Pipe,as per ASTM C593</t>
  </si>
  <si>
    <t>4YYYYYF06</t>
  </si>
  <si>
    <t>6" , Thk. 50mm ,Cold Insulation,Polyisocyanurate rigid foam, density 125 kg/m3,Sectional Pipe,as per ASTM C593</t>
  </si>
  <si>
    <t>Hot Insulation, Mineral Wool, Blanket,Thk. 40mm , ASTM C592,Class II, density 80 kg/m3~120 kg/m3, With 0.9mm 1 side stitched galvanized wire</t>
  </si>
  <si>
    <t>قراداد اولیه</t>
  </si>
  <si>
    <t>تسمه استنلس استیل سایز 13mm*0/5mm</t>
  </si>
  <si>
    <t>تسمه استنلس استیل سایز 19mm*0/5mm</t>
  </si>
  <si>
    <t>پیچ استنلس استیل سایز 13*4/8</t>
  </si>
  <si>
    <t>پیچ استنلس استیل سایز 9/5*4/2</t>
  </si>
  <si>
    <t>واشر لئوپرن</t>
  </si>
  <si>
    <t>ماستیک METAL SEALANT</t>
  </si>
  <si>
    <t>کلیپس S</t>
  </si>
  <si>
    <t>سیم استنلس استیل به قطر 1mm</t>
  </si>
  <si>
    <t>نوارچسب نخ دار تقویت شده فیلامنت با عرض 50 میلیمتر</t>
  </si>
  <si>
    <t>pcs</t>
  </si>
  <si>
    <t>نرخ تسعیر</t>
  </si>
  <si>
    <t>ریال پیش پرداخت</t>
  </si>
  <si>
    <t>بست استنلس استیل سایز 13mm*0/5mm</t>
  </si>
  <si>
    <t>بست استنلس استیل سایز 19mm*0/5mm</t>
  </si>
  <si>
    <t>PI-1</t>
  </si>
  <si>
    <t>PI-2</t>
  </si>
  <si>
    <t>PI-3</t>
  </si>
  <si>
    <t>PI-4</t>
  </si>
  <si>
    <t>نرخ</t>
  </si>
  <si>
    <t>Total MRS</t>
  </si>
  <si>
    <t>ریال صورتحساب</t>
  </si>
  <si>
    <t>خریدار: شرکت پالایشگاه میعانات گازی آدیش جنوبی</t>
  </si>
  <si>
    <t>ردیف</t>
  </si>
  <si>
    <t>کد کالا</t>
  </si>
  <si>
    <t>شرح کالا</t>
  </si>
  <si>
    <t>واحد</t>
  </si>
  <si>
    <t>مقدار</t>
  </si>
  <si>
    <t>بهای واحد
(یورو)</t>
  </si>
  <si>
    <t>مبلغ قرارداد
(یورو)</t>
  </si>
  <si>
    <t>مبلغ کل
(یورو)</t>
  </si>
  <si>
    <t>فاکتور</t>
  </si>
  <si>
    <t>عدد</t>
  </si>
  <si>
    <t>ست</t>
  </si>
  <si>
    <t>خلاصه محاسبات پرداخت صورت حساب:</t>
  </si>
  <si>
    <t>(یورو)</t>
  </si>
  <si>
    <t>توضیحات:</t>
  </si>
  <si>
    <t>مالیات و عوارض بر ارزش افزوده (9%)</t>
  </si>
  <si>
    <t>کسور:</t>
  </si>
  <si>
    <t>جمع کسور</t>
  </si>
  <si>
    <t>خالص قابل پرداخت</t>
  </si>
  <si>
    <t>متر</t>
  </si>
  <si>
    <t>متر مربع</t>
  </si>
  <si>
    <t>کیلوگرم</t>
  </si>
  <si>
    <t>حلقه</t>
  </si>
  <si>
    <t>استهلاک پیش پرداخت (30%)</t>
  </si>
  <si>
    <t>تاریخ قرارداد: 1401/04/22</t>
  </si>
  <si>
    <t>تاریخ تهیه گزارش: 1401/06/28</t>
  </si>
  <si>
    <t>جمع کالای دریافتی</t>
  </si>
  <si>
    <t>جمع صورتحسابها</t>
  </si>
  <si>
    <t>مقادیر
رسید شده</t>
  </si>
  <si>
    <t>درصد کالای
دریافتی</t>
  </si>
  <si>
    <t>شماره قرارداد: ADSH-P-PO-GE-098</t>
  </si>
  <si>
    <t>فروشنده: شرکت جهان عایق پارس</t>
  </si>
  <si>
    <t>خلاصه مالی خرید عایق گرم و سرد و آلومینیوم</t>
  </si>
  <si>
    <r>
      <t xml:space="preserve">کالاهای رسید شده با شماره مرجع
</t>
    </r>
    <r>
      <rPr>
        <sz val="11"/>
        <color theme="1"/>
        <rFont val="Calibri"/>
        <family val="2"/>
        <scheme val="minor"/>
      </rPr>
      <t>MRS--JAY-098-001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>MRS-JAY-098-009</t>
    </r>
    <r>
      <rPr>
        <sz val="10"/>
        <color theme="1"/>
        <rFont val="Calibri"/>
        <family val="2"/>
        <scheme val="minor"/>
      </rPr>
      <t xml:space="preserve">
</t>
    </r>
    <r>
      <rPr>
        <sz val="13"/>
        <color theme="1"/>
        <rFont val="B Lotus"/>
        <charset val="178"/>
      </rPr>
      <t>در این مرحله صورتحساب شده است که تماما در بازه مجاز قرارداد به انبار رسید شده است لذا مشمول جریمه تاخیر نمی باشد.</t>
    </r>
  </si>
  <si>
    <t>مقادیر
رسید شده
مرحله اول</t>
  </si>
  <si>
    <t>مقادیر
رسید شده
مرحله دوم</t>
  </si>
  <si>
    <t>4YYXXYE</t>
  </si>
  <si>
    <t>4YYYYYG06</t>
  </si>
  <si>
    <t>جمع مقادیر رسید شده</t>
  </si>
  <si>
    <t>کسر می شود: کالای صورتحساب شده طی مراحل قبلی</t>
  </si>
  <si>
    <t>جمع کالای دریافتی طی مرحله دوم</t>
  </si>
  <si>
    <t>مبلغ کالای دریافتی
(یورو)</t>
  </si>
  <si>
    <t>جمع صورتحسابهای مرحله دوم</t>
  </si>
  <si>
    <t>تاریخ تهیه گزارش: 1401/07/21</t>
  </si>
  <si>
    <r>
      <t xml:space="preserve">صورتحسابهای مرحله اول: </t>
    </r>
    <r>
      <rPr>
        <sz val="11"/>
        <color theme="1"/>
        <rFont val="Calibri"/>
        <family val="2"/>
        <scheme val="minor"/>
      </rPr>
      <t>MRS-JAY-098-009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 xml:space="preserve">MRS-JAY-098-001
</t>
    </r>
    <r>
      <rPr>
        <sz val="13"/>
        <color theme="1"/>
        <rFont val="B Lotus"/>
        <charset val="178"/>
      </rPr>
      <t>صورتحسابهای مرحله دوم:</t>
    </r>
    <r>
      <rPr>
        <sz val="11"/>
        <color theme="1"/>
        <rFont val="Calibri"/>
        <family val="2"/>
        <scheme val="minor"/>
      </rPr>
      <t xml:space="preserve"> MRS-JAY-098-018 الی MRS-JAY-098-010</t>
    </r>
    <r>
      <rPr>
        <sz val="13"/>
        <color theme="1"/>
        <rFont val="B Lotus"/>
        <charset val="178"/>
      </rPr>
      <t xml:space="preserve">
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با توجه به استعلام اخذ شده از واحد برنامه ریزی، تاخیر در ارسال پارت دوم با هماهنگی خریدار و تحویل طی بازه های اعلامی توسط خریدار بوده است.</t>
    </r>
  </si>
  <si>
    <t>مقادیر
رسید شده
مرحله سوم</t>
  </si>
  <si>
    <t>مقادیر
رسید شده
مرحله چهارم</t>
  </si>
  <si>
    <t>جمع کالای دریافتی طی مراحل سوم و چهارم</t>
  </si>
  <si>
    <t>استهلاک پیش پرداخت (باقیمانده)</t>
  </si>
  <si>
    <t>خالص قابل پرداخت (با فرض اینکه پارت سوم تسویه نشده است)</t>
  </si>
  <si>
    <t>تاریخ تهیه گزارش: 1401/11/17</t>
  </si>
  <si>
    <t>مازاد بر قرارداد و الحاقیه</t>
  </si>
  <si>
    <t>جمع صورتحسابهای مرحله سوم</t>
  </si>
  <si>
    <t>جمع صورتحسابهای مرحله چهارم</t>
  </si>
  <si>
    <t>جمع کل باقیمانده</t>
  </si>
  <si>
    <r>
      <t xml:space="preserve">صورتحسابهای مرحله اول: </t>
    </r>
    <r>
      <rPr>
        <sz val="11"/>
        <color theme="1"/>
        <rFont val="Calibri"/>
        <family val="2"/>
        <scheme val="minor"/>
      </rPr>
      <t>MRS-JAY-098-001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 xml:space="preserve">MRS-JAY-098-009
</t>
    </r>
    <r>
      <rPr>
        <sz val="13"/>
        <color theme="1"/>
        <rFont val="B Lotus"/>
        <charset val="178"/>
      </rPr>
      <t>صورتحسابهای مرحله دوم:</t>
    </r>
    <r>
      <rPr>
        <sz val="11"/>
        <color theme="1"/>
        <rFont val="Calibri"/>
        <family val="2"/>
        <scheme val="minor"/>
      </rPr>
      <t xml:space="preserve"> MRS-JAY-098-010 </t>
    </r>
    <r>
      <rPr>
        <sz val="13"/>
        <color theme="1"/>
        <rFont val="B Lotus"/>
        <charset val="178"/>
      </rPr>
      <t>الی</t>
    </r>
    <r>
      <rPr>
        <sz val="11"/>
        <color theme="1"/>
        <rFont val="Calibri"/>
        <family val="2"/>
        <scheme val="minor"/>
      </rPr>
      <t xml:space="preserve"> MRS-JAY-098-018</t>
    </r>
    <r>
      <rPr>
        <sz val="13"/>
        <color theme="1"/>
        <rFont val="B Lotus"/>
        <charset val="178"/>
      </rPr>
      <t xml:space="preserve">
</t>
    </r>
    <r>
      <rPr>
        <b/>
        <sz val="13"/>
        <color theme="1"/>
        <rFont val="B Lotus"/>
        <charset val="178"/>
      </rPr>
      <t xml:space="preserve">صورتحسابهای مرحله سوم: </t>
    </r>
    <r>
      <rPr>
        <b/>
        <sz val="11"/>
        <color theme="1"/>
        <rFont val="Calibri"/>
        <family val="2"/>
        <scheme val="minor"/>
      </rPr>
      <t>MRS-JAY-098-019</t>
    </r>
    <r>
      <rPr>
        <b/>
        <sz val="13"/>
        <color theme="1"/>
        <rFont val="B Lotus"/>
        <charset val="178"/>
      </rPr>
      <t xml:space="preserve"> الی </t>
    </r>
    <r>
      <rPr>
        <b/>
        <sz val="11"/>
        <color theme="1"/>
        <rFont val="Calibri"/>
        <family val="2"/>
        <scheme val="minor"/>
      </rPr>
      <t>MRS-JAY-098-025</t>
    </r>
    <r>
      <rPr>
        <sz val="11"/>
        <color theme="1"/>
        <rFont val="Calibri"/>
        <family val="2"/>
        <scheme val="minor"/>
      </rPr>
      <t xml:space="preserve">
</t>
    </r>
    <r>
      <rPr>
        <sz val="13"/>
        <color theme="1"/>
        <rFont val="B Lotus"/>
        <charset val="178"/>
      </rPr>
      <t>صورتحسابهای مرحله چهارم:</t>
    </r>
    <r>
      <rPr>
        <sz val="11"/>
        <color theme="1"/>
        <rFont val="Calibri"/>
        <family val="2"/>
        <scheme val="minor"/>
      </rPr>
      <t xml:space="preserve"> MRS-JAY-098-26 </t>
    </r>
    <r>
      <rPr>
        <sz val="13"/>
        <color theme="1"/>
        <rFont val="B Lotus"/>
        <charset val="178"/>
      </rPr>
      <t>الی</t>
    </r>
    <r>
      <rPr>
        <sz val="11"/>
        <color theme="1"/>
        <rFont val="Calibri"/>
        <family val="2"/>
        <scheme val="minor"/>
      </rPr>
      <t xml:space="preserve"> MRS-JAY-098-046</t>
    </r>
    <r>
      <rPr>
        <sz val="13"/>
        <color theme="1"/>
        <rFont val="B Lotus"/>
        <charset val="178"/>
      </rPr>
      <t xml:space="preserve">
صورتحسابهای مرحله سوم به واحد مالی تحویل نشده است و محاسبات فوق با فرض عدم تسویه پارت سوم صورت گرفته است.
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</t>
    </r>
    <r>
      <rPr>
        <b/>
        <sz val="13"/>
        <color theme="1"/>
        <rFont val="B Lotus"/>
        <charset val="178"/>
      </rPr>
      <t>با توجه به استعلام اخذ شده از واحد برنامه ریزی، تاخیرها در ارسال اقلام با هماهنگی خریدار و تحویل طی بازه های اعلامی توسط خریدار بوده است</t>
    </r>
    <r>
      <rPr>
        <sz val="13"/>
        <color theme="1"/>
        <rFont val="B Lotus"/>
        <charset val="178"/>
      </rPr>
      <t xml:space="preserve">.
</t>
    </r>
    <r>
      <rPr>
        <b/>
        <u/>
        <sz val="13"/>
        <color theme="1"/>
        <rFont val="B Lotus"/>
        <charset val="178"/>
      </rPr>
      <t>همچنین جمعا مبلغ 31.082/79 یورو بیشتر از سقف قرارداد کالا ارسال شده است که که مربوط به ردیف های هایلایت شده می باشد</t>
    </r>
    <r>
      <rPr>
        <u/>
        <sz val="13"/>
        <color theme="1"/>
        <rFont val="B Lotus"/>
        <charset val="178"/>
      </rPr>
      <t>.لازم به توضیح است برخی مقادیر در مقادیر 80mm  و 50mm و فی یکسان تهاتر گردید.ولیکن ردیفهای زرد رنگ از قرارداد و الحاقیه مازاد ارسال شده است.</t>
    </r>
  </si>
  <si>
    <t>6" , Thk. 60mm ,Cold Insulation,Polyisocyanurate rigid foam,density 125 kg/m3, Sectional Pipe,as per ASTM C591</t>
  </si>
  <si>
    <t>OPI-JAY-098-010</t>
  </si>
  <si>
    <t>SACR-PL-JAY-098-010</t>
  </si>
  <si>
    <t>10</t>
  </si>
  <si>
    <t>10" , Thk. 60mm ,Hot Insulation, Mineral wool ASTM C547,  Class II density 80 kg/m3~120 kg/m3, Sectional Pipe</t>
  </si>
  <si>
    <t>3" , Thk. 50mm ,Hot Insulation, Mineral wool ASTM C547,  Class II density 80 kg/m3~120 kg/m3, Sectional Pipe</t>
  </si>
  <si>
    <t>OPI-JAY-098-011</t>
  </si>
  <si>
    <t>SACR-PL-JAY-098-011</t>
  </si>
  <si>
    <t>11</t>
  </si>
  <si>
    <t>Iso Blanket Mineral Wool with Stainless Steel on One Side</t>
  </si>
  <si>
    <t>Hot Insulation, Mineral Wool, Blanket,Thk. 50mm ,  ASTM C592,Class II, density 80 kg/m3~120 kg/m3,  With 0.9mm 1 side stitched galvanized wire</t>
  </si>
  <si>
    <t>Hot Insulation, Mineral Wool, Blanket, Thk. 70mm , ASTM C592,Class II, density 80 kg/m3~120 kg/m3,  With 0.9mm 1 side stitched galvanized wire</t>
  </si>
  <si>
    <t>OPI-JAY-098-012</t>
  </si>
  <si>
    <t>SACR-PL-JAY-098-012</t>
  </si>
  <si>
    <t>12</t>
  </si>
  <si>
    <t>Hot Insulation, Mineral Wool, Blanket,Thk. 40mm ,  ASTM C592,Class II, density 80 kg/m3~120 kg/m3,  With 0.9mm 1 side stitched galvanized wire</t>
  </si>
  <si>
    <t>Hot Insulation, Mineral Wool, Blanket,Thk. 80mm ,  ASTM C592,Class II, density 80 kg/m3~120 kg/m3,  With 0.9mm 1 side stitched galvanized wire</t>
  </si>
  <si>
    <t>OPI-JAY-098-013</t>
  </si>
  <si>
    <t>SACR-PL-JAY-098-013</t>
  </si>
  <si>
    <t>13</t>
  </si>
  <si>
    <t>Hot Insulation, Mineral Wool, Blanket,Thk. 60mm ,  ASTM C592,Class II, density 80 kg/m3~120 kg/m3,  With 0.9mm 1 side stitched galvanized wire</t>
  </si>
  <si>
    <t>OPI-JAY-098-014</t>
  </si>
  <si>
    <t>SACR-PL-JAY-098-014</t>
  </si>
  <si>
    <t>14</t>
  </si>
  <si>
    <t>OPI-JAY-098-018</t>
  </si>
  <si>
    <t>SACR-PL-JAY-098-015</t>
  </si>
  <si>
    <t>15</t>
  </si>
  <si>
    <t>COLD INSULATION</t>
  </si>
  <si>
    <t>OPI-JAY-098-015</t>
  </si>
  <si>
    <t>SACR-PL-JAY-098-016</t>
  </si>
  <si>
    <t>16</t>
  </si>
  <si>
    <t>Hot Insulation, Mineral Wool, Blanket,Thk. 90mm ,  ASTM C592,Class II, density 80 kg/m3~120 kg/m3,  With 0.9mm 1 side stitched galvanized wire</t>
  </si>
  <si>
    <t>OPI-JAY-098-016</t>
  </si>
  <si>
    <t>SACR-PL-JAY-098-017</t>
  </si>
  <si>
    <t>17</t>
  </si>
  <si>
    <t>OPI-JAY-098-017</t>
  </si>
  <si>
    <t>SACR-PL-JAY-098-018</t>
  </si>
  <si>
    <t>18</t>
  </si>
  <si>
    <t>Hot Insulation, Mineral Wool, Blanket,Thk. 100mm ,  ASTM C592,Class II, density 80 kg/m3~120 kg/m3,  With 0.9mm 1 side stitched galvanized wire</t>
  </si>
  <si>
    <t>OPI-JAY-098-019</t>
  </si>
  <si>
    <t>SACR-PL-JAY-098-019</t>
  </si>
  <si>
    <t>19</t>
  </si>
  <si>
    <t>1" , Thk. 30mm ,Hot Insulation, Mineral wool ASTM C547,  Class II density 80 kg/m3~120 kg/m3, Sectional Pipe</t>
  </si>
  <si>
    <t>OPI-JAY-098-020</t>
  </si>
  <si>
    <t>SACR-PL-JAY-098-020</t>
  </si>
  <si>
    <t>20</t>
  </si>
  <si>
    <t>4" , Thk. 30mm ,Hot Insulation, Mineral wool ASTM C547,  Class II density 80 kg/m3~120 kg/m3, Sectional Pipe</t>
  </si>
  <si>
    <t>OPI-JAY-098-021</t>
  </si>
  <si>
    <t>SACR-PL-JAY-098-021</t>
  </si>
  <si>
    <t>21</t>
  </si>
  <si>
    <t>4" , Thk. 50mm ,Hot Insulation, Mineral wool ASTM C547,  Class II density 80 kg/m3~120 kg/m3, Sectional Pipe</t>
  </si>
  <si>
    <t>1 1/2" , Thk. 40mm ,Hot Insulation, Mineral wool ASTM C547,  Class II density 80 kg/m3~120 kg/m3, Sectional Pipe</t>
  </si>
  <si>
    <t>8" , Thk. 30mm ,Hot Insulation, Mineral wool ASTM C547,  Class II density 80 kg/m3~120 kg/m3, Sectional Pipe</t>
  </si>
  <si>
    <t>OPI-JAY-098-022</t>
  </si>
  <si>
    <t>SACR-PL-JAY-098-022</t>
  </si>
  <si>
    <t>22</t>
  </si>
  <si>
    <t>4" , Thk. 40mm ,Hot Insulation, Mineral wool ASTM C547,  Class II density 80 kg/m3~120 kg/m3, Sectional Pipe</t>
  </si>
  <si>
    <t>OPI-JAY-098-023</t>
  </si>
  <si>
    <t>SACR-PL-JAY-098-023</t>
  </si>
  <si>
    <t>23</t>
  </si>
  <si>
    <t>واشر نئوپرن</t>
  </si>
  <si>
    <t>OPI-JAY-098-024</t>
  </si>
  <si>
    <t>SACR-PL-JAY-098-024</t>
  </si>
  <si>
    <t>24</t>
  </si>
  <si>
    <t>OPI-JAY-098-025</t>
  </si>
  <si>
    <t>SACR-PL-JAY-098-025</t>
  </si>
  <si>
    <t>25</t>
  </si>
  <si>
    <t>2" , Thk. 40mm ,Hot Insulation, Mineral wool ASTM C547,  Class II density 80 kg/m3~120 kg/m3, Sectional Pipe</t>
  </si>
  <si>
    <t>OPI-JAY-098-026</t>
  </si>
  <si>
    <t>SACR-PL-JAY-098-026</t>
  </si>
  <si>
    <t>26</t>
  </si>
  <si>
    <t>6" , Thk. 40mm ,Hot Insulation, Mineral wool ASTM C547,  Class II density 80 kg/m3~120 kg/m3, Sectional Pipe</t>
  </si>
  <si>
    <t>طبق مکاتبات صورت گرفته ضخامت 50ارسال گردیده است</t>
  </si>
  <si>
    <t>OPI-JAY-098-027</t>
  </si>
  <si>
    <t>SACR-PL-JAY-098-027</t>
  </si>
  <si>
    <t>27</t>
  </si>
  <si>
    <t>OPI-JAY-098-028</t>
  </si>
  <si>
    <t>SACR-PL-JAY-098-028</t>
  </si>
  <si>
    <t>28</t>
  </si>
  <si>
    <t>8" , Thk. 70mm ,Hot Insulation, Mineral wool ASTM C547,  Class II density 80 kg/m3~120 kg/m3, Sectional Pipe</t>
  </si>
  <si>
    <t>OPI-JAY-098-029</t>
  </si>
  <si>
    <t>SACR-PL-JAY-098-029</t>
  </si>
  <si>
    <t>29</t>
  </si>
  <si>
    <t>1" , Thk. 40mm ,Hot Insulation, Mineral wool ASTM C547,  Class II density 80 kg/m3~120 kg/m3, Sectional Pipe</t>
  </si>
  <si>
    <t>OPI-JAY-098-030</t>
  </si>
  <si>
    <t>SACR-PL-JAY-098-030</t>
  </si>
  <si>
    <t>30</t>
  </si>
  <si>
    <t>OPI-JAY-098-031</t>
  </si>
  <si>
    <t>SACR-PL-JAY-098-031</t>
  </si>
  <si>
    <t>31</t>
  </si>
  <si>
    <t>OPI-JAY-098-032</t>
  </si>
  <si>
    <t>SACR-PL-JAY-098-032</t>
  </si>
  <si>
    <t>32</t>
  </si>
  <si>
    <t>1 1/2" , Thk. 30mm ,Hot Insulation, Mineral wool ASTM C547,  Class II density 80 kg/m3~120 kg/m3, Sectional Pipe</t>
  </si>
  <si>
    <t>1/2" , Thk. 30mm ,Hot Insulation, Mineral wool ASTM C547,  Class II , density 80 kg/m3~120 kg/m3, Sectional Pipe</t>
  </si>
  <si>
    <t>OPI-JAY-098-033</t>
  </si>
  <si>
    <t>SACR-PL-JAY-098-033</t>
  </si>
  <si>
    <t>33</t>
  </si>
  <si>
    <t>OPI-JAY-098-034</t>
  </si>
  <si>
    <t>SACR-PL-JAY-098-034</t>
  </si>
  <si>
    <t>34</t>
  </si>
  <si>
    <t>8" , Thk. 60mm ,Hot Insulation, Mineral wool ASTM C547,  Class II density 80 kg/m3~120 kg/m3, Sectional Pipe</t>
  </si>
  <si>
    <t>10" , Thk. 30mm ,Hot Insulation, Mineral wool ASTM C547,  Class II density 80 kg/m3~120 kg/m3, Sectional Pipe</t>
  </si>
  <si>
    <t>10" , Thk. 50mm ,Hot Insulation, Mineral wool ASTM C547,  Class II density 80 kg/m3~120 kg/m3, Sectional Pipe</t>
  </si>
  <si>
    <t>OPI-JAY-098-035</t>
  </si>
  <si>
    <t>SACR-PL-JAY-098-035</t>
  </si>
  <si>
    <t>35</t>
  </si>
  <si>
    <t>Iso Blanket Mineral Wool with Stainless Steel on One Side -FOR UNIT FLR</t>
  </si>
  <si>
    <t>OPI-JAY-098-036</t>
  </si>
  <si>
    <t>SACR-PL-JAY-098-036</t>
  </si>
  <si>
    <t>36</t>
  </si>
  <si>
    <t>OPI-JAY-098-037</t>
  </si>
  <si>
    <t>SACR-PL-JAY-098-037</t>
  </si>
  <si>
    <t>37</t>
  </si>
  <si>
    <t>OPI-JAY-098-038</t>
  </si>
  <si>
    <t>SACR-PL-JAY-098-038</t>
  </si>
  <si>
    <t>38</t>
  </si>
  <si>
    <t>OPI-JAY-098-039</t>
  </si>
  <si>
    <t>SACR-PL-JAY-098-039</t>
  </si>
  <si>
    <t>39</t>
  </si>
  <si>
    <t>OPI-JAY-098-040</t>
  </si>
  <si>
    <t>SACR-PL-JAY-098-040</t>
  </si>
  <si>
    <t>40</t>
  </si>
  <si>
    <t>OPI-JAY-098-041</t>
  </si>
  <si>
    <t>SACR-PL-JAY-098-041</t>
  </si>
  <si>
    <t>41</t>
  </si>
  <si>
    <t>OPI-JAY-098-042</t>
  </si>
  <si>
    <t>SACR-PL-JAY-098-042</t>
  </si>
  <si>
    <t>42</t>
  </si>
  <si>
    <t>1 1/2" , Thk. 50mm ,Hot Insulation, Mineral wool ASTM C547,  Class II density 80 kg/m3~120 kg/m3, Sectional Pipe</t>
  </si>
  <si>
    <t>2" , Thk. 60mm ,Hot Insulation, Mineral wool ASTM C547,  Class II density 80 kg/m3~120 kg/m3, Sectional Pipe</t>
  </si>
  <si>
    <t>MASTIC METAL SEALANT</t>
  </si>
  <si>
    <t>OPI-JAY-098-043</t>
  </si>
  <si>
    <t>SACR-PL-JAY-098-043</t>
  </si>
  <si>
    <t>43</t>
  </si>
  <si>
    <t>OPI-JAY-098-044</t>
  </si>
  <si>
    <t>SACR-PL-JAY-098-044</t>
  </si>
  <si>
    <t>44</t>
  </si>
  <si>
    <t>OPI-JAY-098-045</t>
  </si>
  <si>
    <t>SACR-PL-JAY-098-045</t>
  </si>
  <si>
    <t>45</t>
  </si>
  <si>
    <t>OPI-JAY-098-046</t>
  </si>
  <si>
    <t>SACR-PL-JAY-098-046</t>
  </si>
  <si>
    <t>46</t>
  </si>
  <si>
    <t>4" , Thk. 60mm ,Hot Insulation, Mineral wool ASTM C547,  Class II density 80 kg/m3~120 kg/m3, Sectional Pipe</t>
  </si>
  <si>
    <t>OPI-JAY-098-047</t>
  </si>
  <si>
    <t>SACR-PL-JAY-098-047</t>
  </si>
  <si>
    <t>47</t>
  </si>
  <si>
    <t>OPI-JAY-098-048</t>
  </si>
  <si>
    <t>SACR-PL-JAY-098-048</t>
  </si>
  <si>
    <t>48</t>
  </si>
  <si>
    <t>Mineral Wool Iso Blanket</t>
  </si>
  <si>
    <t>OPI-JAY-098-049</t>
  </si>
  <si>
    <t>SACR-PL-JAY-098-049</t>
  </si>
  <si>
    <t>49</t>
  </si>
  <si>
    <t>OPI-JAY-098-050</t>
  </si>
  <si>
    <t>SACR-PL-JAY-098-050</t>
  </si>
  <si>
    <t>50</t>
  </si>
  <si>
    <t>OPI-JAY-098-051</t>
  </si>
  <si>
    <t>SACR-PL-JAY-098-051</t>
  </si>
  <si>
    <t>51</t>
  </si>
  <si>
    <t>OPI-JAY-098-052</t>
  </si>
  <si>
    <t>SACR-PL-JAY-098-052</t>
  </si>
  <si>
    <t>52</t>
  </si>
  <si>
    <t>OPI-JAY-098-053</t>
  </si>
  <si>
    <t>SACR-PL-JAY-098-053</t>
  </si>
  <si>
    <t>53</t>
  </si>
  <si>
    <t>OPI-JAY-098-055</t>
  </si>
  <si>
    <t>SACR-PL-JAY-098-054</t>
  </si>
  <si>
    <t>54</t>
  </si>
  <si>
    <t>OPI-JAY-098-054</t>
  </si>
  <si>
    <t>SACR-PL-JAY-098-055</t>
  </si>
  <si>
    <t>55</t>
  </si>
  <si>
    <t>OPI-JAY-098-056</t>
  </si>
  <si>
    <t>SACR-PL-JAY-098-056</t>
  </si>
  <si>
    <t>56</t>
  </si>
  <si>
    <t>Metal Jacketing</t>
  </si>
  <si>
    <t>مقادیر
رسید شده
مرحله پنجم</t>
  </si>
  <si>
    <t>1402/01/21</t>
  </si>
  <si>
    <t>جمع صورتحسابهای مرحله پنجم</t>
  </si>
  <si>
    <t>تاریخ تهیه گزارش: 1402/02/19</t>
  </si>
  <si>
    <t>مقادیر
رسید شده
مرحله ششم</t>
  </si>
  <si>
    <t xml:space="preserve">خالص قابل پرداخت </t>
  </si>
  <si>
    <t>جمع صورتحسابهای مرحله ششم</t>
  </si>
  <si>
    <t>جمع کالای دریافتی طی مرحله ششم</t>
  </si>
  <si>
    <t>جمع کالای دریافتی طی مرحله پنجم</t>
  </si>
  <si>
    <r>
      <t xml:space="preserve">صورتحسابهای مرحله اول: MRS-JAY-098-001 الی MRS-JAY-098-009
صورتحسابهای مرحله دوم: MRS-JAY-098-010 الی MRS-JAY-098-018
</t>
    </r>
    <r>
      <rPr>
        <b/>
        <sz val="12"/>
        <color theme="1"/>
        <rFont val="B Lotus"/>
        <charset val="178"/>
      </rPr>
      <t>صورتحسابهای مرحله سوم: MRS-JAY-098-019 الی MRS-JAY-098-025</t>
    </r>
    <r>
      <rPr>
        <sz val="12"/>
        <color theme="1"/>
        <rFont val="B Lotus"/>
        <charset val="178"/>
      </rPr>
      <t xml:space="preserve">
صورتحسابهای مرحله چهارم: MRS-JAY-098-26 الی MRS-JAY-098-046
صورتحسابهای مرحله پنجم:  MRS-JAY-098-47وMRS-JAY-098-48 و MRS-JAY-098-051 و MRS-JAY-098-052 و MRS-JAY-098-054 و MRS-JAY-098-055          
صورتحسابهای مرحله ششم:  MRS-JAY-098-49وMRS-JAY-098-50 و MRS-JAY-098-053 و MRS-JAY-098-056                                                      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</t>
    </r>
    <r>
      <rPr>
        <b/>
        <sz val="12"/>
        <color theme="1"/>
        <rFont val="B Lotus"/>
        <charset val="178"/>
      </rPr>
      <t>با توجه به استعلام اخذ شده از واحد برنامه ریزی، تاخیرها در ارسال اقلام با هماهنگی خریدار و تحویل طی بازه های اعلامی توسط خریدار بوده است</t>
    </r>
    <r>
      <rPr>
        <sz val="12"/>
        <color theme="1"/>
        <rFont val="B Lotus"/>
        <charset val="178"/>
      </rPr>
      <t xml:space="preserve">.
</t>
    </r>
    <r>
      <rPr>
        <b/>
        <u/>
        <sz val="12"/>
        <color theme="1"/>
        <rFont val="B Lotus"/>
        <charset val="178"/>
      </rPr>
      <t>همچنین جمعا مبلغ 88،611.21 یورو بیشتر از سقف قرارداد کالا ارسال شده است که که مربوط به ردیف های هایلایت شده می باشد</t>
    </r>
    <r>
      <rPr>
        <u/>
        <sz val="12"/>
        <color theme="1"/>
        <rFont val="B Lotus"/>
        <charset val="178"/>
      </rPr>
      <t>. .</t>
    </r>
  </si>
  <si>
    <r>
      <t xml:space="preserve">صورتحسابهای مرحله اول: </t>
    </r>
    <r>
      <rPr>
        <sz val="11"/>
        <color theme="1"/>
        <rFont val="Calibri"/>
        <family val="2"/>
        <scheme val="minor"/>
      </rPr>
      <t>MRS-JAY-098-001</t>
    </r>
    <r>
      <rPr>
        <sz val="13"/>
        <color theme="1"/>
        <rFont val="B Lotus"/>
        <charset val="178"/>
      </rPr>
      <t xml:space="preserve"> الی </t>
    </r>
    <r>
      <rPr>
        <sz val="11"/>
        <color theme="1"/>
        <rFont val="Calibri"/>
        <family val="2"/>
        <scheme val="minor"/>
      </rPr>
      <t xml:space="preserve">MRS-JAY-098-009
</t>
    </r>
    <r>
      <rPr>
        <sz val="13"/>
        <color theme="1"/>
        <rFont val="B Lotus"/>
        <charset val="178"/>
      </rPr>
      <t>صورتحسابهای مرحله دوم:</t>
    </r>
    <r>
      <rPr>
        <sz val="11"/>
        <color theme="1"/>
        <rFont val="Calibri"/>
        <family val="2"/>
        <scheme val="minor"/>
      </rPr>
      <t xml:space="preserve"> MRS-JAY-098-010 </t>
    </r>
    <r>
      <rPr>
        <sz val="13"/>
        <color theme="1"/>
        <rFont val="B Lotus"/>
        <charset val="178"/>
      </rPr>
      <t>الی</t>
    </r>
    <r>
      <rPr>
        <sz val="11"/>
        <color theme="1"/>
        <rFont val="Calibri"/>
        <family val="2"/>
        <scheme val="minor"/>
      </rPr>
      <t xml:space="preserve"> MRS-JAY-098-018</t>
    </r>
    <r>
      <rPr>
        <sz val="13"/>
        <color theme="1"/>
        <rFont val="B Lotus"/>
        <charset val="178"/>
      </rPr>
      <t xml:space="preserve">
</t>
    </r>
    <r>
      <rPr>
        <b/>
        <sz val="13"/>
        <color theme="1"/>
        <rFont val="B Lotus"/>
        <charset val="178"/>
      </rPr>
      <t xml:space="preserve">صورتحسابهای مرحله سوم: </t>
    </r>
    <r>
      <rPr>
        <b/>
        <sz val="11"/>
        <color theme="1"/>
        <rFont val="Calibri"/>
        <family val="2"/>
        <scheme val="minor"/>
      </rPr>
      <t>MRS-JAY-098-019</t>
    </r>
    <r>
      <rPr>
        <b/>
        <sz val="13"/>
        <color theme="1"/>
        <rFont val="B Lotus"/>
        <charset val="178"/>
      </rPr>
      <t xml:space="preserve"> الی </t>
    </r>
    <r>
      <rPr>
        <b/>
        <sz val="11"/>
        <color theme="1"/>
        <rFont val="Calibri"/>
        <family val="2"/>
        <scheme val="minor"/>
      </rPr>
      <t>MRS-JAY-098-025</t>
    </r>
    <r>
      <rPr>
        <sz val="11"/>
        <color theme="1"/>
        <rFont val="Calibri"/>
        <family val="2"/>
        <scheme val="minor"/>
      </rPr>
      <t xml:space="preserve">
</t>
    </r>
    <r>
      <rPr>
        <sz val="13"/>
        <color theme="1"/>
        <rFont val="B Lotus"/>
        <charset val="178"/>
      </rPr>
      <t>صورتحسابهای مرحله چهارم:</t>
    </r>
    <r>
      <rPr>
        <sz val="11"/>
        <color theme="1"/>
        <rFont val="Calibri"/>
        <family val="2"/>
        <scheme val="minor"/>
      </rPr>
      <t xml:space="preserve"> MRS-JAY-098-26 </t>
    </r>
    <r>
      <rPr>
        <sz val="13"/>
        <color theme="1"/>
        <rFont val="B Lotus"/>
        <charset val="178"/>
      </rPr>
      <t>الی</t>
    </r>
    <r>
      <rPr>
        <sz val="11"/>
        <color theme="1"/>
        <rFont val="Calibri"/>
        <family val="2"/>
        <scheme val="minor"/>
      </rPr>
      <t xml:space="preserve"> MRS-JAY-098-046</t>
    </r>
    <r>
      <rPr>
        <sz val="13"/>
        <color theme="1"/>
        <rFont val="B Lotus"/>
        <charset val="178"/>
      </rPr>
      <t xml:space="preserve">
صورتحسابهای مرحله پنجم:  MRS-JAY-098-47وMRS-JAY-098-48 و MRS-JAY-098-051 و MRS-JAY-098-052 و MRS-JAY-098-054 و MRS-JAY-098-055                  
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</t>
    </r>
    <r>
      <rPr>
        <b/>
        <sz val="13"/>
        <color theme="1"/>
        <rFont val="B Lotus"/>
        <charset val="178"/>
      </rPr>
      <t>با توجه به استعلام اخذ شده از واحد برنامه ریزی، تاخیرها در ارسال اقلام با هماهنگی خریدار و تحویل طی بازه های اعلامی توسط خریدار بوده است</t>
    </r>
    <r>
      <rPr>
        <sz val="13"/>
        <color theme="1"/>
        <rFont val="B Lotus"/>
        <charset val="178"/>
      </rPr>
      <t xml:space="preserve">.
</t>
    </r>
    <r>
      <rPr>
        <b/>
        <u/>
        <sz val="13"/>
        <color theme="1"/>
        <rFont val="B Lotus"/>
        <charset val="178"/>
      </rPr>
      <t>همچنین جمعا مبلغ 60،624.90 یورو بیشتر از سقف قرارداد کالا ارسال شده است که که مربوط به ردیف های هایلایت شده می باشد</t>
    </r>
    <r>
      <rPr>
        <u/>
        <sz val="13"/>
        <color theme="1"/>
        <rFont val="B Lotus"/>
        <charset val="178"/>
      </rPr>
      <t>. .</t>
    </r>
  </si>
  <si>
    <t>مقادیر
رسید شده
مرحله پنجم-درخواست ضرورری</t>
  </si>
  <si>
    <t>26=29</t>
  </si>
  <si>
    <t>29=26</t>
  </si>
  <si>
    <t>32=35</t>
  </si>
  <si>
    <t>35=32</t>
  </si>
  <si>
    <t>48=54</t>
  </si>
  <si>
    <t>54=48</t>
  </si>
  <si>
    <t>38=41=43</t>
  </si>
  <si>
    <t>41=38</t>
  </si>
  <si>
    <t>43=38</t>
  </si>
  <si>
    <t>fls</t>
  </si>
  <si>
    <r>
      <t xml:space="preserve">صورتحسابهای مرحله اول: MRS-JAY-098-001 الی MRS-JAY-098-009
صورتحسابهای مرحله دوم: MRS-JAY-098-010 الی MRS-JAY-098-018
</t>
    </r>
    <r>
      <rPr>
        <b/>
        <sz val="12"/>
        <color theme="1"/>
        <rFont val="B Lotus"/>
        <charset val="178"/>
      </rPr>
      <t>صورتحسابهای مرحله سوم: MRS-JAY-098-019 الی MRS-JAY-098-025</t>
    </r>
    <r>
      <rPr>
        <sz val="12"/>
        <color theme="1"/>
        <rFont val="B Lotus"/>
        <charset val="178"/>
      </rPr>
      <t xml:space="preserve">
صورتحسابهای مرحله چهارم: MRS-JAY-098-26 الی MRS-JAY-098-046
صورتحسابهای مرحله پنجم:  MRS-JAY-098-47وMRS-JAY-098-48 و MRS-JAY-098-051 و MRS-JAY-098-052 و MRS-JAY-098-054 و MRS-JAY-098-055          
صورتحسابهای مرحله ششم:  MRS-JAY-098-49وMRS-JAY-098-50 و MRS-JAY-098-053 و MRS-JAY-098-056       تاریخ انعقاد قرارداد: 1401/04/22
تاریخ شروع قرارداد برابر با تاریخ ابلاغ قرارداد: 1401/04/26
تاریخ پیش پرداخت: 1401/05/09
مدت قرارداد: 60 روز تقویمی پیش از شروع قرارداد (تاخیر در پرداخت پیش پرداخت به مدت زمان تحویل اضافه می شود)
سر رسید تاریخ تحویل (با توجه به توضیحات فوق): 1401/07/07
</t>
    </r>
    <r>
      <rPr>
        <b/>
        <sz val="12"/>
        <color theme="1"/>
        <rFont val="B Lotus"/>
        <charset val="178"/>
      </rPr>
      <t>با توجه به استعلام اخذ شده از واحد برنامه ریزی، تاخیرها در ارسال اقلام با هماهنگی خریدار و تحویل طی بازه های اعلامی توسط خریدار بوده است</t>
    </r>
    <r>
      <rPr>
        <sz val="12"/>
        <color theme="1"/>
        <rFont val="B Lotus"/>
        <charset val="178"/>
      </rPr>
      <t xml:space="preserve">.
</t>
    </r>
    <r>
      <rPr>
        <b/>
        <u/>
        <sz val="12"/>
        <color theme="1"/>
        <rFont val="B Lotus"/>
        <charset val="178"/>
      </rPr>
      <t>همچنین جمعا مبلغ 72،067.18 یورو بیشتر از سقف قرارداد کالا ارسال شده است که که مربوط به ردیف های هایلایت شده می باشد</t>
    </r>
    <r>
      <rPr>
        <u/>
        <sz val="12"/>
        <color theme="1"/>
        <rFont val="B Lotus"/>
        <charset val="178"/>
      </rPr>
      <t>. محموله 5 جزو درخواست واحد مهندسی میباشد که جمعا 19،349/44 یورو است و محموله 6 جزو درخواست عایق فلر جمعا 21،629/32 یورو الباقی  معادل 31،088/42 یورو مازاد ارسال شده و MR ندارد.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</si>
</sst>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_(* #,##0.000_);_(* \(#,##0.000\);_(* &quot;-&quot;??_);_(@_)"/>
    <numFmt numFmtId="167" formatCode="_(* #,##0_);_(* \(#,##0\);_(* &quot;-&quot;??_);_(@_)"/>
    <numFmt numFmtId="168" formatCode="_ * #,##0.00_)_ر_ي_ا_ل_ ;_ * \(#,##0.00\)_ر_ي_ا_ل_ ;_ * &quot;-&quot;??_)_ر_ي_ا_ل_ ;_ @_ "/>
    <numFmt numFmtId="169" formatCode="#,##0.000_);[Red]\(#,##0.000\)"/>
  </numFmts>
  <fonts count="38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Tahoma"/>
      <family val="2"/>
    </font>
    <font>
      <sz val="9"/>
      <color rgb="FFE23636"/>
      <name val="Tahoma"/>
      <family val="2"/>
    </font>
    <font>
      <sz val="9"/>
      <color rgb="FF3D8F3D"/>
      <name val="Tahoma"/>
      <family val="2"/>
    </font>
    <font>
      <sz val="8"/>
      <color rgb="FF000000"/>
      <name val="Tahoma"/>
      <family val="2"/>
    </font>
    <font>
      <sz val="8"/>
      <color rgb="FF000000"/>
      <name val="Calibri"/>
      <family val="2"/>
    </font>
    <font>
      <b/>
      <sz val="9"/>
      <color rgb="FF000000"/>
      <name val="Tahoma"/>
      <family val="2"/>
    </font>
    <font>
      <b/>
      <sz val="8"/>
      <color rgb="FF000000"/>
      <name val="Tahoma"/>
      <family val="2"/>
    </font>
    <font>
      <sz val="11"/>
      <color rgb="FF000000"/>
      <name val="Calibri"/>
      <family val="2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B Lotus"/>
      <charset val="178"/>
    </font>
    <font>
      <sz val="9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b/>
      <sz val="12"/>
      <color theme="1"/>
      <name val="B Lotus"/>
      <charset val="178"/>
    </font>
    <font>
      <sz val="14"/>
      <color theme="1"/>
      <name val="B Lotus"/>
      <charset val="178"/>
    </font>
    <font>
      <sz val="16"/>
      <color theme="1"/>
      <name val="B Lotus"/>
      <charset val="17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FF0000"/>
      <name val="B Lotus"/>
      <charset val="178"/>
    </font>
    <font>
      <b/>
      <sz val="9"/>
      <color theme="1"/>
      <name val="Calibri"/>
      <family val="2"/>
      <charset val="178"/>
      <scheme val="minor"/>
    </font>
    <font>
      <b/>
      <sz val="8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u/>
      <sz val="13"/>
      <color theme="1"/>
      <name val="B Lotus"/>
      <charset val="178"/>
    </font>
    <font>
      <u/>
      <sz val="13"/>
      <color theme="1"/>
      <name val="B Lotus"/>
      <charset val="178"/>
    </font>
    <font>
      <sz val="9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  <font>
      <b/>
      <u/>
      <sz val="12"/>
      <color theme="1"/>
      <name val="B Lotus"/>
      <charset val="178"/>
    </font>
    <font>
      <u/>
      <sz val="12"/>
      <color theme="1"/>
      <name val="B Lotus"/>
      <charset val="178"/>
    </font>
    <font>
      <sz val="13"/>
      <name val="B Lotus"/>
      <charset val="178"/>
    </font>
    <font>
      <sz val="11"/>
      <color rgb="FFFF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76">
    <xf numFmtId="0" fontId="0" fillId="0" borderId="0" xfId="0"/>
    <xf numFmtId="49" fontId="0" fillId="0" borderId="0" xfId="0" applyNumberFormat="1"/>
    <xf numFmtId="4" fontId="0" fillId="0" borderId="0" xfId="0" applyNumberFormat="1"/>
    <xf numFmtId="1" fontId="3" fillId="2" borderId="0" xfId="0" applyNumberFormat="1" applyFont="1" applyFill="1"/>
    <xf numFmtId="49" fontId="3" fillId="2" borderId="0" xfId="0" applyNumberFormat="1" applyFont="1" applyFill="1"/>
    <xf numFmtId="165" fontId="3" fillId="2" borderId="0" xfId="0" applyNumberFormat="1" applyFont="1" applyFill="1"/>
    <xf numFmtId="4" fontId="3" fillId="2" borderId="0" xfId="0" applyNumberFormat="1" applyFont="1" applyFill="1"/>
    <xf numFmtId="0" fontId="0" fillId="3" borderId="0" xfId="0" applyFill="1"/>
    <xf numFmtId="0" fontId="5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center" wrapText="1"/>
    </xf>
    <xf numFmtId="3" fontId="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3" fontId="7" fillId="5" borderId="0" xfId="0" applyNumberFormat="1" applyFont="1" applyFill="1" applyAlignment="1">
      <alignment horizontal="center" vertical="center" wrapText="1"/>
    </xf>
    <xf numFmtId="0" fontId="5" fillId="7" borderId="0" xfId="0" applyFont="1" applyFill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8" fillId="6" borderId="0" xfId="0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9" fillId="0" borderId="0" xfId="0" applyFont="1"/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0" xfId="0" applyFont="1"/>
    <xf numFmtId="164" fontId="0" fillId="0" borderId="0" xfId="1" applyFont="1"/>
    <xf numFmtId="166" fontId="0" fillId="0" borderId="0" xfId="1" applyNumberFormat="1" applyFont="1"/>
    <xf numFmtId="164" fontId="10" fillId="4" borderId="0" xfId="1" applyFont="1" applyFill="1" applyAlignment="1">
      <alignment horizontal="center" vertical="center" wrapText="1"/>
    </xf>
    <xf numFmtId="164" fontId="5" fillId="5" borderId="0" xfId="1" applyFont="1" applyFill="1" applyAlignment="1">
      <alignment horizontal="center" vertical="center" wrapText="1"/>
    </xf>
    <xf numFmtId="164" fontId="5" fillId="6" borderId="0" xfId="1" applyFont="1" applyFill="1" applyAlignment="1">
      <alignment horizontal="center" vertical="center" wrapText="1"/>
    </xf>
    <xf numFmtId="164" fontId="5" fillId="7" borderId="0" xfId="1" applyFont="1" applyFill="1" applyAlignment="1">
      <alignment horizontal="center" vertical="center" wrapText="1"/>
    </xf>
    <xf numFmtId="166" fontId="3" fillId="0" borderId="0" xfId="1" applyNumberFormat="1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5" fillId="0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0" fillId="0" borderId="0" xfId="1" applyNumberFormat="1" applyFont="1" applyFill="1"/>
    <xf numFmtId="9" fontId="0" fillId="0" borderId="0" xfId="2" applyFont="1"/>
    <xf numFmtId="167" fontId="0" fillId="0" borderId="0" xfId="1" applyNumberFormat="1" applyFont="1"/>
    <xf numFmtId="4" fontId="7" fillId="5" borderId="0" xfId="0" applyNumberFormat="1" applyFont="1" applyFill="1" applyAlignment="1">
      <alignment horizontal="center" vertical="center" wrapText="1"/>
    </xf>
    <xf numFmtId="164" fontId="3" fillId="0" borderId="0" xfId="1" applyFont="1"/>
    <xf numFmtId="0" fontId="13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10" fontId="14" fillId="0" borderId="0" xfId="4" applyNumberFormat="1" applyFont="1" applyAlignment="1">
      <alignment vertical="center"/>
    </xf>
    <xf numFmtId="0" fontId="14" fillId="0" borderId="0" xfId="3" applyFont="1" applyAlignment="1">
      <alignment horizontal="left" vertical="center"/>
    </xf>
    <xf numFmtId="0" fontId="13" fillId="0" borderId="1" xfId="3" applyFont="1" applyBorder="1" applyAlignment="1">
      <alignment vertical="center"/>
    </xf>
    <xf numFmtId="0" fontId="15" fillId="0" borderId="0" xfId="3" applyFont="1" applyAlignment="1">
      <alignment vertical="center"/>
    </xf>
    <xf numFmtId="10" fontId="15" fillId="0" borderId="0" xfId="4" applyNumberFormat="1" applyFont="1" applyAlignment="1">
      <alignment vertical="center"/>
    </xf>
    <xf numFmtId="0" fontId="16" fillId="8" borderId="2" xfId="3" applyFont="1" applyFill="1" applyBorder="1" applyAlignment="1">
      <alignment horizontal="center" vertical="center" wrapText="1"/>
    </xf>
    <xf numFmtId="0" fontId="16" fillId="8" borderId="3" xfId="3" applyFont="1" applyFill="1" applyBorder="1" applyAlignment="1">
      <alignment horizontal="center" vertical="center" wrapText="1"/>
    </xf>
    <xf numFmtId="0" fontId="16" fillId="8" borderId="4" xfId="3" applyFont="1" applyFill="1" applyBorder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10" fontId="16" fillId="8" borderId="6" xfId="4" applyNumberFormat="1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 vertical="center" wrapText="1"/>
    </xf>
    <xf numFmtId="40" fontId="17" fillId="0" borderId="10" xfId="5" applyNumberFormat="1" applyFont="1" applyFill="1" applyBorder="1" applyAlignment="1">
      <alignment horizontal="center" vertical="center" wrapText="1" readingOrder="2"/>
    </xf>
    <xf numFmtId="38" fontId="16" fillId="0" borderId="5" xfId="5" applyNumberFormat="1" applyFont="1" applyFill="1" applyBorder="1" applyAlignment="1">
      <alignment horizontal="center" vertical="center" wrapText="1"/>
    </xf>
    <xf numFmtId="9" fontId="16" fillId="0" borderId="7" xfId="4" applyFont="1" applyFill="1" applyBorder="1" applyAlignment="1">
      <alignment horizontal="center" vertical="center" wrapText="1"/>
    </xf>
    <xf numFmtId="38" fontId="16" fillId="0" borderId="0" xfId="3" applyNumberFormat="1" applyFont="1" applyAlignment="1">
      <alignment horizontal="center" vertical="center" wrapText="1"/>
    </xf>
    <xf numFmtId="167" fontId="16" fillId="0" borderId="0" xfId="5" applyNumberFormat="1" applyFont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40" fontId="17" fillId="0" borderId="15" xfId="5" applyNumberFormat="1" applyFont="1" applyFill="1" applyBorder="1" applyAlignment="1">
      <alignment horizontal="center" vertical="center" wrapText="1" readingOrder="2"/>
    </xf>
    <xf numFmtId="9" fontId="16" fillId="0" borderId="12" xfId="4" applyFont="1" applyFill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 wrapText="1"/>
    </xf>
    <xf numFmtId="40" fontId="17" fillId="0" borderId="20" xfId="5" applyNumberFormat="1" applyFont="1" applyFill="1" applyBorder="1" applyAlignment="1">
      <alignment horizontal="center" vertical="center" wrapText="1" readingOrder="2"/>
    </xf>
    <xf numFmtId="9" fontId="16" fillId="0" borderId="17" xfId="4" applyFont="1" applyFill="1" applyBorder="1" applyAlignment="1">
      <alignment horizontal="center" vertical="center" wrapText="1"/>
    </xf>
    <xf numFmtId="0" fontId="19" fillId="0" borderId="0" xfId="3" applyFont="1" applyAlignment="1">
      <alignment vertical="center"/>
    </xf>
    <xf numFmtId="38" fontId="19" fillId="0" borderId="0" xfId="3" applyNumberFormat="1" applyFont="1" applyAlignment="1">
      <alignment vertical="center"/>
    </xf>
    <xf numFmtId="38" fontId="19" fillId="0" borderId="0" xfId="5" applyNumberFormat="1" applyFont="1" applyAlignment="1">
      <alignment horizontal="left" vertical="center" readingOrder="1"/>
    </xf>
    <xf numFmtId="38" fontId="19" fillId="0" borderId="0" xfId="4" applyNumberFormat="1" applyFont="1" applyBorder="1" applyAlignment="1">
      <alignment vertical="center"/>
    </xf>
    <xf numFmtId="38" fontId="19" fillId="0" borderId="0" xfId="5" applyNumberFormat="1" applyFont="1" applyBorder="1" applyAlignment="1">
      <alignment vertical="center"/>
    </xf>
    <xf numFmtId="38" fontId="19" fillId="0" borderId="0" xfId="5" applyNumberFormat="1" applyFont="1" applyBorder="1" applyAlignment="1">
      <alignment horizontal="left" vertical="center" readingOrder="1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38" fontId="21" fillId="0" borderId="0" xfId="3" applyNumberFormat="1" applyFont="1" applyAlignment="1">
      <alignment vertical="center"/>
    </xf>
    <xf numFmtId="38" fontId="21" fillId="0" borderId="0" xfId="5" applyNumberFormat="1" applyFont="1" applyBorder="1" applyAlignment="1">
      <alignment horizontal="center" vertical="center"/>
    </xf>
    <xf numFmtId="38" fontId="21" fillId="0" borderId="0" xfId="5" applyNumberFormat="1" applyFont="1" applyBorder="1" applyAlignment="1">
      <alignment horizontal="center" vertical="center" readingOrder="1"/>
    </xf>
    <xf numFmtId="167" fontId="19" fillId="0" borderId="0" xfId="5" applyNumberFormat="1" applyFont="1" applyBorder="1" applyAlignment="1">
      <alignment vertical="center"/>
    </xf>
    <xf numFmtId="10" fontId="19" fillId="0" borderId="0" xfId="4" applyNumberFormat="1" applyFont="1" applyBorder="1" applyAlignment="1">
      <alignment vertical="center"/>
    </xf>
    <xf numFmtId="0" fontId="15" fillId="0" borderId="1" xfId="3" applyFont="1" applyBorder="1" applyAlignment="1">
      <alignment vertical="center"/>
    </xf>
    <xf numFmtId="10" fontId="15" fillId="0" borderId="1" xfId="4" applyNumberFormat="1" applyFont="1" applyBorder="1" applyAlignment="1">
      <alignment horizontal="right" vertical="center"/>
    </xf>
    <xf numFmtId="10" fontId="15" fillId="0" borderId="0" xfId="4" applyNumberFormat="1" applyFont="1" applyBorder="1" applyAlignment="1">
      <alignment vertical="center"/>
    </xf>
    <xf numFmtId="0" fontId="17" fillId="0" borderId="0" xfId="3" applyFont="1" applyAlignment="1">
      <alignment vertical="center"/>
    </xf>
    <xf numFmtId="167" fontId="17" fillId="0" borderId="0" xfId="5" applyNumberFormat="1" applyFont="1" applyBorder="1"/>
    <xf numFmtId="0" fontId="16" fillId="0" borderId="0" xfId="3" applyFont="1" applyAlignment="1">
      <alignment vertical="center"/>
    </xf>
    <xf numFmtId="0" fontId="17" fillId="0" borderId="0" xfId="3" applyFont="1"/>
    <xf numFmtId="167" fontId="22" fillId="0" borderId="0" xfId="5" applyNumberFormat="1" applyFont="1" applyBorder="1"/>
    <xf numFmtId="0" fontId="16" fillId="0" borderId="0" xfId="3" applyFont="1"/>
    <xf numFmtId="10" fontId="17" fillId="0" borderId="0" xfId="4" applyNumberFormat="1" applyFont="1" applyAlignment="1">
      <alignment vertical="center"/>
    </xf>
    <xf numFmtId="0" fontId="23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10" fontId="17" fillId="0" borderId="0" xfId="4" applyNumberFormat="1" applyFont="1" applyBorder="1" applyAlignment="1">
      <alignment horizontal="left" vertical="center"/>
    </xf>
    <xf numFmtId="167" fontId="15" fillId="0" borderId="0" xfId="3" applyNumberFormat="1" applyFont="1" applyAlignment="1">
      <alignment vertical="center"/>
    </xf>
    <xf numFmtId="0" fontId="17" fillId="0" borderId="26" xfId="3" applyFont="1" applyBorder="1" applyAlignment="1">
      <alignment horizontal="center" vertical="center" wrapText="1"/>
    </xf>
    <xf numFmtId="40" fontId="17" fillId="0" borderId="26" xfId="5" applyNumberFormat="1" applyFont="1" applyFill="1" applyBorder="1" applyAlignment="1">
      <alignment horizontal="center" vertical="center" wrapText="1" readingOrder="2"/>
    </xf>
    <xf numFmtId="40" fontId="17" fillId="0" borderId="30" xfId="5" applyNumberFormat="1" applyFont="1" applyFill="1" applyBorder="1" applyAlignment="1">
      <alignment horizontal="center" vertical="center" wrapText="1" readingOrder="2"/>
    </xf>
    <xf numFmtId="0" fontId="18" fillId="0" borderId="8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28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24" fillId="0" borderId="9" xfId="3" applyFont="1" applyBorder="1" applyAlignment="1">
      <alignment horizontal="left" vertical="center" wrapText="1"/>
    </xf>
    <xf numFmtId="0" fontId="24" fillId="0" borderId="14" xfId="3" applyFont="1" applyBorder="1" applyAlignment="1">
      <alignment horizontal="left" vertical="center" wrapText="1"/>
    </xf>
    <xf numFmtId="0" fontId="24" fillId="0" borderId="14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 wrapText="1"/>
    </xf>
    <xf numFmtId="0" fontId="24" fillId="0" borderId="25" xfId="3" applyFont="1" applyBorder="1" applyAlignment="1">
      <alignment horizontal="left" vertical="center" wrapText="1"/>
    </xf>
    <xf numFmtId="0" fontId="24" fillId="0" borderId="25" xfId="3" applyFont="1" applyBorder="1" applyAlignment="1">
      <alignment horizontal="right" vertical="center" wrapText="1"/>
    </xf>
    <xf numFmtId="164" fontId="17" fillId="0" borderId="10" xfId="1" applyFont="1" applyBorder="1" applyAlignment="1">
      <alignment horizontal="center" vertical="center" wrapText="1"/>
    </xf>
    <xf numFmtId="164" fontId="17" fillId="0" borderId="15" xfId="1" applyFont="1" applyBorder="1" applyAlignment="1">
      <alignment horizontal="center" vertical="center" wrapText="1"/>
    </xf>
    <xf numFmtId="164" fontId="17" fillId="0" borderId="30" xfId="1" applyFont="1" applyBorder="1" applyAlignment="1">
      <alignment horizontal="center" vertical="center" wrapText="1"/>
    </xf>
    <xf numFmtId="164" fontId="17" fillId="0" borderId="26" xfId="1" applyFont="1" applyBorder="1" applyAlignment="1">
      <alignment horizontal="center" vertical="center" wrapText="1"/>
    </xf>
    <xf numFmtId="164" fontId="17" fillId="0" borderId="11" xfId="1" applyFont="1" applyFill="1" applyBorder="1" applyAlignment="1">
      <alignment horizontal="center" vertical="center" wrapText="1" readingOrder="1"/>
    </xf>
    <xf numFmtId="164" fontId="17" fillId="0" borderId="16" xfId="1" applyFont="1" applyFill="1" applyBorder="1" applyAlignment="1">
      <alignment horizontal="center" vertical="center" wrapText="1" readingOrder="1"/>
    </xf>
    <xf numFmtId="164" fontId="21" fillId="0" borderId="22" xfId="1" applyFont="1" applyBorder="1" applyAlignment="1">
      <alignment horizontal="center" vertical="center" readingOrder="1"/>
    </xf>
    <xf numFmtId="164" fontId="16" fillId="0" borderId="7" xfId="1" applyFont="1" applyFill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 wrapText="1"/>
    </xf>
    <xf numFmtId="164" fontId="16" fillId="0" borderId="27" xfId="1" applyFont="1" applyFill="1" applyBorder="1" applyAlignment="1">
      <alignment horizontal="center" vertical="center" wrapText="1"/>
    </xf>
    <xf numFmtId="164" fontId="16" fillId="0" borderId="23" xfId="1" applyFont="1" applyFill="1" applyBorder="1" applyAlignment="1">
      <alignment horizontal="center" vertical="center" wrapText="1"/>
    </xf>
    <xf numFmtId="164" fontId="17" fillId="0" borderId="7" xfId="1" applyFont="1" applyFill="1" applyBorder="1" applyAlignment="1">
      <alignment horizontal="center" vertical="center" wrapText="1" readingOrder="1"/>
    </xf>
    <xf numFmtId="164" fontId="17" fillId="0" borderId="12" xfId="1" applyFont="1" applyFill="1" applyBorder="1" applyAlignment="1">
      <alignment horizontal="center" vertical="center" wrapText="1" readingOrder="1"/>
    </xf>
    <xf numFmtId="164" fontId="17" fillId="0" borderId="0" xfId="1" applyFont="1" applyAlignment="1">
      <alignment horizontal="left" vertical="center" readingOrder="1"/>
    </xf>
    <xf numFmtId="164" fontId="17" fillId="0" borderId="1" xfId="1" applyFont="1" applyBorder="1"/>
    <xf numFmtId="164" fontId="16" fillId="0" borderId="0" xfId="1" applyFont="1"/>
    <xf numFmtId="164" fontId="17" fillId="0" borderId="0" xfId="1" applyFont="1" applyAlignment="1">
      <alignment vertical="center"/>
    </xf>
    <xf numFmtId="164" fontId="16" fillId="0" borderId="22" xfId="1" applyFont="1" applyBorder="1"/>
    <xf numFmtId="164" fontId="16" fillId="0" borderId="17" xfId="1" applyFont="1" applyFill="1" applyBorder="1" applyAlignment="1">
      <alignment horizontal="center" vertical="center" wrapText="1"/>
    </xf>
    <xf numFmtId="164" fontId="17" fillId="0" borderId="17" xfId="1" applyFont="1" applyFill="1" applyBorder="1" applyAlignment="1">
      <alignment horizontal="center" vertical="center" wrapText="1" readingOrder="1"/>
    </xf>
    <xf numFmtId="0" fontId="18" fillId="0" borderId="18" xfId="3" applyFont="1" applyBorder="1" applyAlignment="1">
      <alignment horizontal="center" vertical="center" wrapText="1"/>
    </xf>
    <xf numFmtId="0" fontId="24" fillId="0" borderId="19" xfId="3" applyFont="1" applyBorder="1" applyAlignment="1">
      <alignment horizontal="right" vertical="center" wrapText="1"/>
    </xf>
    <xf numFmtId="164" fontId="17" fillId="0" borderId="20" xfId="1" applyFont="1" applyBorder="1" applyAlignment="1">
      <alignment horizontal="center" vertical="center" wrapText="1"/>
    </xf>
    <xf numFmtId="164" fontId="17" fillId="0" borderId="21" xfId="1" applyFont="1" applyFill="1" applyBorder="1" applyAlignment="1">
      <alignment horizontal="center" vertical="center" wrapText="1" readingOrder="1"/>
    </xf>
    <xf numFmtId="0" fontId="17" fillId="0" borderId="0" xfId="3" applyFont="1" applyAlignment="1">
      <alignment vertical="top" wrapText="1"/>
    </xf>
    <xf numFmtId="10" fontId="14" fillId="0" borderId="0" xfId="4" applyNumberFormat="1" applyFont="1" applyBorder="1" applyAlignment="1">
      <alignment vertical="center"/>
    </xf>
    <xf numFmtId="0" fontId="17" fillId="9" borderId="12" xfId="3" applyFont="1" applyFill="1" applyBorder="1" applyAlignment="1">
      <alignment horizontal="center" vertical="center" wrapText="1"/>
    </xf>
    <xf numFmtId="0" fontId="18" fillId="9" borderId="13" xfId="3" applyFont="1" applyFill="1" applyBorder="1" applyAlignment="1">
      <alignment horizontal="center" vertical="center" wrapText="1"/>
    </xf>
    <xf numFmtId="0" fontId="24" fillId="9" borderId="14" xfId="3" applyFont="1" applyFill="1" applyBorder="1" applyAlignment="1">
      <alignment horizontal="left" vertical="center" wrapText="1"/>
    </xf>
    <xf numFmtId="0" fontId="17" fillId="9" borderId="15" xfId="3" applyFont="1" applyFill="1" applyBorder="1" applyAlignment="1">
      <alignment horizontal="center" vertical="center" wrapText="1"/>
    </xf>
    <xf numFmtId="164" fontId="17" fillId="9" borderId="15" xfId="1" applyFont="1" applyFill="1" applyBorder="1" applyAlignment="1">
      <alignment horizontal="center" vertical="center" wrapText="1"/>
    </xf>
    <xf numFmtId="40" fontId="17" fillId="9" borderId="15" xfId="5" applyNumberFormat="1" applyFont="1" applyFill="1" applyBorder="1" applyAlignment="1">
      <alignment horizontal="center" vertical="center" wrapText="1" readingOrder="2"/>
    </xf>
    <xf numFmtId="164" fontId="17" fillId="9" borderId="16" xfId="1" applyFont="1" applyFill="1" applyBorder="1" applyAlignment="1">
      <alignment horizontal="center" vertical="center" wrapText="1" readingOrder="1"/>
    </xf>
    <xf numFmtId="0" fontId="18" fillId="9" borderId="24" xfId="3" applyFont="1" applyFill="1" applyBorder="1" applyAlignment="1">
      <alignment horizontal="center" vertical="center" wrapText="1"/>
    </xf>
    <xf numFmtId="0" fontId="24" fillId="9" borderId="25" xfId="3" applyFont="1" applyFill="1" applyBorder="1" applyAlignment="1">
      <alignment horizontal="left" vertical="center" wrapText="1"/>
    </xf>
    <xf numFmtId="164" fontId="17" fillId="9" borderId="26" xfId="1" applyFont="1" applyFill="1" applyBorder="1" applyAlignment="1">
      <alignment horizontal="center" vertical="center" wrapText="1"/>
    </xf>
    <xf numFmtId="40" fontId="17" fillId="9" borderId="26" xfId="5" applyNumberFormat="1" applyFont="1" applyFill="1" applyBorder="1" applyAlignment="1">
      <alignment horizontal="center" vertical="center" wrapText="1" readingOrder="2"/>
    </xf>
    <xf numFmtId="164" fontId="17" fillId="0" borderId="15" xfId="1" applyFont="1" applyFill="1" applyBorder="1" applyAlignment="1">
      <alignment horizontal="center" vertical="center" wrapText="1"/>
    </xf>
    <xf numFmtId="164" fontId="17" fillId="0" borderId="26" xfId="1" applyFont="1" applyFill="1" applyBorder="1" applyAlignment="1">
      <alignment horizontal="center" vertical="center" wrapText="1"/>
    </xf>
    <xf numFmtId="164" fontId="17" fillId="0" borderId="7" xfId="1" applyFont="1" applyFill="1" applyBorder="1" applyAlignment="1">
      <alignment horizontal="center" vertical="center" wrapText="1"/>
    </xf>
    <xf numFmtId="164" fontId="17" fillId="0" borderId="12" xfId="1" applyFont="1" applyFill="1" applyBorder="1" applyAlignment="1">
      <alignment horizontal="center" vertical="center" wrapText="1"/>
    </xf>
    <xf numFmtId="164" fontId="17" fillId="0" borderId="27" xfId="1" applyFont="1" applyFill="1" applyBorder="1" applyAlignment="1">
      <alignment horizontal="center" vertical="center" wrapText="1"/>
    </xf>
    <xf numFmtId="164" fontId="17" fillId="0" borderId="23" xfId="1" applyFont="1" applyFill="1" applyBorder="1" applyAlignment="1">
      <alignment horizontal="center" vertical="center" wrapText="1"/>
    </xf>
    <xf numFmtId="164" fontId="17" fillId="0" borderId="17" xfId="1" applyFont="1" applyFill="1" applyBorder="1" applyAlignment="1">
      <alignment horizontal="center" vertical="center" wrapText="1"/>
    </xf>
    <xf numFmtId="10" fontId="17" fillId="0" borderId="7" xfId="4" applyNumberFormat="1" applyFont="1" applyFill="1" applyBorder="1" applyAlignment="1">
      <alignment horizontal="center" vertical="center" wrapText="1"/>
    </xf>
    <xf numFmtId="10" fontId="17" fillId="0" borderId="12" xfId="4" applyNumberFormat="1" applyFont="1" applyFill="1" applyBorder="1" applyAlignment="1">
      <alignment horizontal="center" vertical="center" wrapText="1"/>
    </xf>
    <xf numFmtId="10" fontId="17" fillId="0" borderId="17" xfId="4" applyNumberFormat="1" applyFont="1" applyFill="1" applyBorder="1" applyAlignment="1">
      <alignment horizontal="center" vertical="center" wrapText="1"/>
    </xf>
    <xf numFmtId="164" fontId="17" fillId="0" borderId="1" xfId="1" applyFont="1" applyBorder="1" applyAlignment="1">
      <alignment horizontal="left" vertical="center" readingOrder="1"/>
    </xf>
    <xf numFmtId="164" fontId="17" fillId="0" borderId="1" xfId="1" applyFont="1" applyBorder="1" applyAlignment="1">
      <alignment vertical="center"/>
    </xf>
    <xf numFmtId="10" fontId="17" fillId="0" borderId="1" xfId="4" applyNumberFormat="1" applyFont="1" applyBorder="1" applyAlignment="1">
      <alignment horizontal="center" vertical="center"/>
    </xf>
    <xf numFmtId="164" fontId="17" fillId="10" borderId="12" xfId="1" applyFont="1" applyFill="1" applyBorder="1" applyAlignment="1">
      <alignment horizontal="center" vertical="center" wrapText="1"/>
    </xf>
    <xf numFmtId="10" fontId="17" fillId="11" borderId="12" xfId="4" applyNumberFormat="1" applyFont="1" applyFill="1" applyBorder="1" applyAlignment="1">
      <alignment horizontal="center" vertical="center" wrapText="1"/>
    </xf>
    <xf numFmtId="10" fontId="17" fillId="12" borderId="12" xfId="4" applyNumberFormat="1" applyFont="1" applyFill="1" applyBorder="1" applyAlignment="1">
      <alignment horizontal="center" vertical="center" wrapText="1"/>
    </xf>
    <xf numFmtId="10" fontId="16" fillId="12" borderId="6" xfId="4" applyNumberFormat="1" applyFont="1" applyFill="1" applyBorder="1" applyAlignment="1">
      <alignment horizontal="center" vertical="center" wrapText="1"/>
    </xf>
    <xf numFmtId="164" fontId="17" fillId="10" borderId="15" xfId="1" applyFont="1" applyFill="1" applyBorder="1" applyAlignment="1">
      <alignment horizontal="center" vertical="center" wrapText="1"/>
    </xf>
    <xf numFmtId="10" fontId="17" fillId="10" borderId="12" xfId="4" applyNumberFormat="1" applyFont="1" applyFill="1" applyBorder="1" applyAlignment="1">
      <alignment horizontal="center" vertical="center" wrapText="1"/>
    </xf>
    <xf numFmtId="164" fontId="17" fillId="13" borderId="15" xfId="1" applyFont="1" applyFill="1" applyBorder="1" applyAlignment="1">
      <alignment horizontal="center" vertical="center" wrapText="1"/>
    </xf>
    <xf numFmtId="164" fontId="17" fillId="13" borderId="12" xfId="1" applyFont="1" applyFill="1" applyBorder="1" applyAlignment="1">
      <alignment horizontal="center" vertical="center" wrapText="1"/>
    </xf>
    <xf numFmtId="10" fontId="17" fillId="13" borderId="12" xfId="4" applyNumberFormat="1" applyFont="1" applyFill="1" applyBorder="1" applyAlignment="1">
      <alignment horizontal="center" vertical="center" wrapText="1"/>
    </xf>
    <xf numFmtId="164" fontId="17" fillId="14" borderId="15" xfId="1" applyFont="1" applyFill="1" applyBorder="1" applyAlignment="1">
      <alignment horizontal="center" vertical="center" wrapText="1"/>
    </xf>
    <xf numFmtId="164" fontId="17" fillId="14" borderId="26" xfId="1" applyFont="1" applyFill="1" applyBorder="1" applyAlignment="1">
      <alignment horizontal="center" vertical="center" wrapText="1"/>
    </xf>
    <xf numFmtId="164" fontId="17" fillId="14" borderId="12" xfId="1" applyFont="1" applyFill="1" applyBorder="1" applyAlignment="1">
      <alignment horizontal="center" vertical="center" wrapText="1"/>
    </xf>
    <xf numFmtId="10" fontId="17" fillId="14" borderId="12" xfId="4" applyNumberFormat="1" applyFont="1" applyFill="1" applyBorder="1" applyAlignment="1">
      <alignment horizontal="center" vertical="center" wrapText="1"/>
    </xf>
    <xf numFmtId="10" fontId="17" fillId="15" borderId="12" xfId="4" applyNumberFormat="1" applyFont="1" applyFill="1" applyBorder="1" applyAlignment="1">
      <alignment horizontal="center" vertical="center" wrapText="1"/>
    </xf>
    <xf numFmtId="164" fontId="17" fillId="15" borderId="26" xfId="1" applyFont="1" applyFill="1" applyBorder="1" applyAlignment="1">
      <alignment horizontal="center" vertical="center" wrapText="1"/>
    </xf>
    <xf numFmtId="164" fontId="17" fillId="15" borderId="12" xfId="1" applyFont="1" applyFill="1" applyBorder="1" applyAlignment="1">
      <alignment horizontal="center" vertical="center" wrapText="1"/>
    </xf>
    <xf numFmtId="164" fontId="17" fillId="14" borderId="23" xfId="1" applyFont="1" applyFill="1" applyBorder="1" applyAlignment="1">
      <alignment horizontal="center" vertical="center" wrapText="1"/>
    </xf>
    <xf numFmtId="164" fontId="17" fillId="15" borderId="23" xfId="1" applyFont="1" applyFill="1" applyBorder="1" applyAlignment="1">
      <alignment horizontal="center" vertical="center" wrapText="1"/>
    </xf>
    <xf numFmtId="168" fontId="16" fillId="0" borderId="0" xfId="3" applyNumberFormat="1" applyFont="1" applyAlignment="1">
      <alignment horizontal="center" vertical="center" wrapText="1"/>
    </xf>
    <xf numFmtId="168" fontId="15" fillId="0" borderId="0" xfId="3" applyNumberFormat="1" applyFont="1" applyAlignment="1">
      <alignment vertical="center"/>
    </xf>
    <xf numFmtId="10" fontId="17" fillId="12" borderId="7" xfId="4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38" fontId="19" fillId="0" borderId="0" xfId="5" applyNumberFormat="1" applyFont="1" applyAlignment="1">
      <alignment horizontal="center" vertical="center" readingOrder="1"/>
    </xf>
    <xf numFmtId="0" fontId="19" fillId="0" borderId="0" xfId="3" applyFont="1" applyAlignment="1">
      <alignment horizontal="center" vertical="center"/>
    </xf>
    <xf numFmtId="10" fontId="15" fillId="0" borderId="0" xfId="4" applyNumberFormat="1" applyFont="1" applyAlignment="1">
      <alignment horizontal="center" vertical="center"/>
    </xf>
    <xf numFmtId="164" fontId="17" fillId="0" borderId="0" xfId="1" applyFont="1" applyAlignment="1">
      <alignment horizontal="center" vertical="center" readingOrder="1"/>
    </xf>
    <xf numFmtId="164" fontId="17" fillId="0" borderId="1" xfId="1" applyFont="1" applyBorder="1" applyAlignment="1">
      <alignment horizontal="center" vertical="center" readingOrder="1"/>
    </xf>
    <xf numFmtId="164" fontId="17" fillId="0" borderId="1" xfId="1" applyFont="1" applyBorder="1" applyAlignment="1">
      <alignment horizontal="center"/>
    </xf>
    <xf numFmtId="164" fontId="17" fillId="0" borderId="0" xfId="1" applyFont="1" applyBorder="1" applyAlignment="1">
      <alignment horizontal="center"/>
    </xf>
    <xf numFmtId="164" fontId="17" fillId="0" borderId="0" xfId="1" applyFont="1" applyAlignment="1">
      <alignment horizontal="center"/>
    </xf>
    <xf numFmtId="164" fontId="17" fillId="0" borderId="0" xfId="1" applyFont="1" applyAlignment="1">
      <alignment horizontal="center" vertical="center"/>
    </xf>
    <xf numFmtId="164" fontId="17" fillId="0" borderId="1" xfId="1" applyFont="1" applyBorder="1" applyAlignment="1">
      <alignment horizontal="center" vertical="center"/>
    </xf>
    <xf numFmtId="164" fontId="17" fillId="0" borderId="0" xfId="1" applyFont="1" applyBorder="1" applyAlignment="1">
      <alignment horizontal="center" vertical="center"/>
    </xf>
    <xf numFmtId="164" fontId="16" fillId="0" borderId="22" xfId="1" applyFont="1" applyBorder="1" applyAlignment="1">
      <alignment horizontal="center"/>
    </xf>
    <xf numFmtId="167" fontId="15" fillId="0" borderId="0" xfId="3" applyNumberFormat="1" applyFont="1" applyAlignment="1">
      <alignment horizontal="center" vertical="center"/>
    </xf>
    <xf numFmtId="164" fontId="16" fillId="0" borderId="31" xfId="1" applyFont="1" applyBorder="1" applyAlignment="1">
      <alignment horizontal="center"/>
    </xf>
    <xf numFmtId="164" fontId="16" fillId="0" borderId="31" xfId="1" applyFont="1" applyBorder="1" applyAlignment="1">
      <alignment horizontal="center" vertical="center"/>
    </xf>
    <xf numFmtId="0" fontId="17" fillId="0" borderId="0" xfId="3" applyFont="1" applyAlignment="1">
      <alignment vertical="top" wrapText="1" readingOrder="2"/>
    </xf>
    <xf numFmtId="164" fontId="17" fillId="10" borderId="12" xfId="1" applyFont="1" applyFill="1" applyBorder="1" applyAlignment="1">
      <alignment horizontal="center" vertical="center" wrapText="1" readingOrder="1"/>
    </xf>
    <xf numFmtId="164" fontId="17" fillId="13" borderId="12" xfId="1" applyFont="1" applyFill="1" applyBorder="1" applyAlignment="1">
      <alignment horizontal="center" vertical="center" wrapText="1" readingOrder="1"/>
    </xf>
    <xf numFmtId="164" fontId="17" fillId="14" borderId="12" xfId="1" applyFont="1" applyFill="1" applyBorder="1" applyAlignment="1">
      <alignment horizontal="center" vertical="center" wrapText="1" readingOrder="1"/>
    </xf>
    <xf numFmtId="164" fontId="17" fillId="15" borderId="12" xfId="1" applyFont="1" applyFill="1" applyBorder="1" applyAlignment="1">
      <alignment horizontal="center" vertical="center" wrapText="1" readingOrder="1"/>
    </xf>
    <xf numFmtId="0" fontId="16" fillId="0" borderId="12" xfId="3" applyFont="1" applyBorder="1" applyAlignment="1">
      <alignment horizontal="center" vertical="center" wrapText="1"/>
    </xf>
    <xf numFmtId="0" fontId="27" fillId="0" borderId="13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 wrapText="1"/>
    </xf>
    <xf numFmtId="164" fontId="16" fillId="12" borderId="15" xfId="1" applyFont="1" applyFill="1" applyBorder="1" applyAlignment="1">
      <alignment horizontal="center" vertical="center" wrapText="1"/>
    </xf>
    <xf numFmtId="40" fontId="16" fillId="0" borderId="15" xfId="5" applyNumberFormat="1" applyFont="1" applyFill="1" applyBorder="1" applyAlignment="1">
      <alignment horizontal="center" vertical="center" wrapText="1" readingOrder="2"/>
    </xf>
    <xf numFmtId="164" fontId="16" fillId="0" borderId="16" xfId="1" applyFont="1" applyFill="1" applyBorder="1" applyAlignment="1">
      <alignment horizontal="center" vertical="center" wrapText="1" readingOrder="1"/>
    </xf>
    <xf numFmtId="164" fontId="16" fillId="12" borderId="12" xfId="1" applyFont="1" applyFill="1" applyBorder="1" applyAlignment="1">
      <alignment horizontal="center" vertical="center" wrapText="1"/>
    </xf>
    <xf numFmtId="10" fontId="16" fillId="12" borderId="12" xfId="4" applyNumberFormat="1" applyFont="1" applyFill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 wrapText="1" readingOrder="1"/>
    </xf>
    <xf numFmtId="164" fontId="26" fillId="12" borderId="12" xfId="1" applyFont="1" applyFill="1" applyBorder="1" applyAlignment="1">
      <alignment horizontal="center" vertical="center" wrapText="1" readingOrder="1"/>
    </xf>
    <xf numFmtId="0" fontId="27" fillId="0" borderId="24" xfId="3" applyFont="1" applyBorder="1" applyAlignment="1">
      <alignment horizontal="center" vertical="center" wrapText="1"/>
    </xf>
    <xf numFmtId="164" fontId="16" fillId="12" borderId="26" xfId="1" applyFont="1" applyFill="1" applyBorder="1" applyAlignment="1">
      <alignment horizontal="center" vertical="center" wrapText="1"/>
    </xf>
    <xf numFmtId="40" fontId="16" fillId="0" borderId="26" xfId="5" applyNumberFormat="1" applyFont="1" applyFill="1" applyBorder="1" applyAlignment="1">
      <alignment horizontal="center" vertical="center" wrapText="1" readingOrder="2"/>
    </xf>
    <xf numFmtId="164" fontId="16" fillId="12" borderId="23" xfId="1" applyFont="1" applyFill="1" applyBorder="1" applyAlignment="1">
      <alignment horizontal="center" vertical="center" wrapText="1"/>
    </xf>
    <xf numFmtId="0" fontId="16" fillId="0" borderId="26" xfId="3" applyFont="1" applyBorder="1" applyAlignment="1">
      <alignment horizontal="center" vertical="center" wrapText="1"/>
    </xf>
    <xf numFmtId="0" fontId="28" fillId="12" borderId="14" xfId="3" applyFont="1" applyFill="1" applyBorder="1" applyAlignment="1">
      <alignment horizontal="left" vertical="center" wrapText="1"/>
    </xf>
    <xf numFmtId="0" fontId="28" fillId="12" borderId="25" xfId="3" applyFont="1" applyFill="1" applyBorder="1" applyAlignment="1">
      <alignment horizontal="left" vertical="center" wrapText="1"/>
    </xf>
    <xf numFmtId="0" fontId="28" fillId="12" borderId="25" xfId="3" applyFont="1" applyFill="1" applyBorder="1" applyAlignment="1">
      <alignment horizontal="right" vertical="center" wrapText="1"/>
    </xf>
    <xf numFmtId="168" fontId="17" fillId="0" borderId="0" xfId="3" applyNumberFormat="1" applyFont="1" applyAlignment="1">
      <alignment vertical="center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3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" fontId="0" fillId="15" borderId="0" xfId="0" applyNumberFormat="1" applyFill="1"/>
    <xf numFmtId="49" fontId="0" fillId="15" borderId="0" xfId="0" applyNumberFormat="1" applyFill="1"/>
    <xf numFmtId="165" fontId="0" fillId="15" borderId="0" xfId="0" applyNumberFormat="1" applyFill="1"/>
    <xf numFmtId="49" fontId="0" fillId="15" borderId="0" xfId="0" applyNumberFormat="1" applyFill="1" applyAlignment="1">
      <alignment horizontal="right"/>
    </xf>
    <xf numFmtId="4" fontId="0" fillId="15" borderId="0" xfId="0" applyNumberFormat="1" applyFill="1"/>
    <xf numFmtId="0" fontId="0" fillId="15" borderId="0" xfId="0" applyFill="1"/>
    <xf numFmtId="1" fontId="0" fillId="10" borderId="0" xfId="0" applyNumberFormat="1" applyFill="1"/>
    <xf numFmtId="49" fontId="0" fillId="10" borderId="0" xfId="0" applyNumberFormat="1" applyFill="1"/>
    <xf numFmtId="165" fontId="0" fillId="10" borderId="0" xfId="0" applyNumberFormat="1" applyFill="1"/>
    <xf numFmtId="49" fontId="0" fillId="10" borderId="0" xfId="0" applyNumberFormat="1" applyFill="1" applyAlignment="1">
      <alignment horizontal="right"/>
    </xf>
    <xf numFmtId="4" fontId="0" fillId="10" borderId="0" xfId="0" applyNumberFormat="1" applyFill="1"/>
    <xf numFmtId="0" fontId="0" fillId="10" borderId="0" xfId="0" applyFill="1"/>
    <xf numFmtId="1" fontId="0" fillId="14" borderId="0" xfId="0" applyNumberFormat="1" applyFill="1"/>
    <xf numFmtId="49" fontId="0" fillId="14" borderId="0" xfId="0" applyNumberFormat="1" applyFill="1"/>
    <xf numFmtId="165" fontId="0" fillId="14" borderId="0" xfId="0" applyNumberFormat="1" applyFill="1"/>
    <xf numFmtId="49" fontId="0" fillId="14" borderId="0" xfId="0" applyNumberFormat="1" applyFill="1" applyAlignment="1">
      <alignment horizontal="right"/>
    </xf>
    <xf numFmtId="4" fontId="0" fillId="14" borderId="0" xfId="0" applyNumberFormat="1" applyFill="1"/>
    <xf numFmtId="0" fontId="0" fillId="14" borderId="0" xfId="0" applyFill="1"/>
    <xf numFmtId="1" fontId="0" fillId="11" borderId="0" xfId="0" applyNumberFormat="1" applyFill="1"/>
    <xf numFmtId="49" fontId="0" fillId="11" borderId="0" xfId="0" applyNumberFormat="1" applyFill="1"/>
    <xf numFmtId="165" fontId="0" fillId="11" borderId="0" xfId="0" applyNumberFormat="1" applyFill="1"/>
    <xf numFmtId="49" fontId="0" fillId="11" borderId="0" xfId="0" applyNumberFormat="1" applyFill="1" applyAlignment="1">
      <alignment horizontal="right"/>
    </xf>
    <xf numFmtId="4" fontId="0" fillId="11" borderId="0" xfId="0" applyNumberFormat="1" applyFill="1"/>
    <xf numFmtId="0" fontId="0" fillId="11" borderId="0" xfId="0" applyFill="1"/>
    <xf numFmtId="164" fontId="17" fillId="11" borderId="12" xfId="1" applyFont="1" applyFill="1" applyBorder="1" applyAlignment="1">
      <alignment horizontal="center" vertical="center" wrapText="1"/>
    </xf>
    <xf numFmtId="164" fontId="21" fillId="0" borderId="0" xfId="3" applyNumberFormat="1" applyFont="1" applyAlignment="1">
      <alignment vertical="center"/>
    </xf>
    <xf numFmtId="168" fontId="17" fillId="0" borderId="0" xfId="3" applyNumberFormat="1" applyFont="1" applyAlignment="1">
      <alignment vertical="top" wrapText="1"/>
    </xf>
    <xf numFmtId="0" fontId="15" fillId="0" borderId="0" xfId="3" applyFont="1"/>
    <xf numFmtId="167" fontId="15" fillId="0" borderId="0" xfId="5" applyNumberFormat="1" applyFont="1" applyBorder="1"/>
    <xf numFmtId="10" fontId="17" fillId="17" borderId="12" xfId="4" applyNumberFormat="1" applyFont="1" applyFill="1" applyBorder="1" applyAlignment="1">
      <alignment horizontal="center" vertical="center" wrapText="1"/>
    </xf>
    <xf numFmtId="10" fontId="17" fillId="18" borderId="12" xfId="4" applyNumberFormat="1" applyFont="1" applyFill="1" applyBorder="1" applyAlignment="1">
      <alignment horizontal="center" vertical="center" wrapText="1"/>
    </xf>
    <xf numFmtId="40" fontId="14" fillId="0" borderId="0" xfId="3" applyNumberFormat="1" applyFont="1" applyAlignment="1">
      <alignment vertical="center"/>
    </xf>
    <xf numFmtId="40" fontId="15" fillId="0" borderId="0" xfId="3" applyNumberFormat="1" applyFont="1" applyAlignment="1">
      <alignment vertical="center"/>
    </xf>
    <xf numFmtId="40" fontId="17" fillId="0" borderId="10" xfId="1" applyNumberFormat="1" applyFont="1" applyBorder="1" applyAlignment="1">
      <alignment horizontal="center" vertical="center" wrapText="1"/>
    </xf>
    <xf numFmtId="40" fontId="17" fillId="0" borderId="15" xfId="1" applyNumberFormat="1" applyFont="1" applyBorder="1" applyAlignment="1">
      <alignment horizontal="center" vertical="center" wrapText="1"/>
    </xf>
    <xf numFmtId="40" fontId="17" fillId="0" borderId="15" xfId="1" applyNumberFormat="1" applyFont="1" applyFill="1" applyBorder="1" applyAlignment="1">
      <alignment horizontal="center" vertical="center" wrapText="1"/>
    </xf>
    <xf numFmtId="40" fontId="17" fillId="0" borderId="30" xfId="1" applyNumberFormat="1" applyFont="1" applyBorder="1" applyAlignment="1">
      <alignment horizontal="center" vertical="center" wrapText="1"/>
    </xf>
    <xf numFmtId="40" fontId="17" fillId="0" borderId="26" xfId="1" applyNumberFormat="1" applyFont="1" applyBorder="1" applyAlignment="1">
      <alignment horizontal="center" vertical="center" wrapText="1"/>
    </xf>
    <xf numFmtId="40" fontId="17" fillId="0" borderId="26" xfId="1" applyNumberFormat="1" applyFont="1" applyFill="1" applyBorder="1" applyAlignment="1">
      <alignment horizontal="center" vertical="center" wrapText="1"/>
    </xf>
    <xf numFmtId="40" fontId="17" fillId="0" borderId="20" xfId="1" applyNumberFormat="1" applyFont="1" applyBorder="1" applyAlignment="1">
      <alignment horizontal="center" vertical="center" wrapText="1"/>
    </xf>
    <xf numFmtId="40" fontId="19" fillId="0" borderId="0" xfId="3" applyNumberFormat="1" applyFont="1" applyAlignment="1">
      <alignment vertical="center"/>
    </xf>
    <xf numFmtId="40" fontId="21" fillId="0" borderId="0" xfId="3" applyNumberFormat="1" applyFont="1" applyAlignment="1">
      <alignment vertical="center"/>
    </xf>
    <xf numFmtId="40" fontId="19" fillId="0" borderId="0" xfId="5" applyNumberFormat="1" applyFont="1" applyBorder="1" applyAlignment="1">
      <alignment vertical="center"/>
    </xf>
    <xf numFmtId="40" fontId="15" fillId="0" borderId="1" xfId="3" applyNumberFormat="1" applyFont="1" applyBorder="1" applyAlignment="1">
      <alignment vertical="center"/>
    </xf>
    <xf numFmtId="40" fontId="17" fillId="0" borderId="0" xfId="3" applyNumberFormat="1" applyFont="1" applyAlignment="1">
      <alignment vertical="center"/>
    </xf>
    <xf numFmtId="40" fontId="14" fillId="0" borderId="0" xfId="3" applyNumberFormat="1" applyFont="1" applyAlignment="1">
      <alignment horizontal="center" vertical="center"/>
    </xf>
    <xf numFmtId="40" fontId="15" fillId="0" borderId="0" xfId="3" applyNumberFormat="1" applyFont="1" applyAlignment="1">
      <alignment horizontal="center" vertical="center"/>
    </xf>
    <xf numFmtId="40" fontId="17" fillId="0" borderId="11" xfId="1" applyNumberFormat="1" applyFont="1" applyFill="1" applyBorder="1" applyAlignment="1">
      <alignment horizontal="center" vertical="center" wrapText="1" readingOrder="1"/>
    </xf>
    <xf numFmtId="40" fontId="17" fillId="0" borderId="16" xfId="1" applyNumberFormat="1" applyFont="1" applyFill="1" applyBorder="1" applyAlignment="1">
      <alignment horizontal="center" vertical="center" wrapText="1" readingOrder="1"/>
    </xf>
    <xf numFmtId="40" fontId="17" fillId="0" borderId="21" xfId="1" applyNumberFormat="1" applyFont="1" applyFill="1" applyBorder="1" applyAlignment="1">
      <alignment horizontal="center" vertical="center" wrapText="1" readingOrder="1"/>
    </xf>
    <xf numFmtId="40" fontId="19" fillId="0" borderId="0" xfId="5" applyNumberFormat="1" applyFont="1" applyAlignment="1">
      <alignment horizontal="center" vertical="center" readingOrder="1"/>
    </xf>
    <xf numFmtId="40" fontId="21" fillId="0" borderId="22" xfId="1" applyNumberFormat="1" applyFont="1" applyBorder="1" applyAlignment="1">
      <alignment horizontal="center" vertical="center" readingOrder="1"/>
    </xf>
    <xf numFmtId="40" fontId="19" fillId="0" borderId="0" xfId="3" applyNumberFormat="1" applyFont="1" applyAlignment="1">
      <alignment horizontal="center" vertical="center"/>
    </xf>
    <xf numFmtId="40" fontId="17" fillId="0" borderId="1" xfId="4" applyNumberFormat="1" applyFont="1" applyBorder="1" applyAlignment="1">
      <alignment horizontal="center" vertical="center"/>
    </xf>
    <xf numFmtId="40" fontId="15" fillId="0" borderId="0" xfId="4" applyNumberFormat="1" applyFont="1" applyAlignment="1">
      <alignment horizontal="center" vertical="center"/>
    </xf>
    <xf numFmtId="40" fontId="17" fillId="0" borderId="0" xfId="1" applyNumberFormat="1" applyFont="1" applyAlignment="1">
      <alignment horizontal="center" vertical="center" readingOrder="1"/>
    </xf>
    <xf numFmtId="40" fontId="17" fillId="0" borderId="1" xfId="1" applyNumberFormat="1" applyFont="1" applyBorder="1" applyAlignment="1">
      <alignment horizontal="center" vertical="center" readingOrder="1"/>
    </xf>
    <xf numFmtId="40" fontId="17" fillId="0" borderId="1" xfId="1" applyNumberFormat="1" applyFont="1" applyBorder="1" applyAlignment="1">
      <alignment horizontal="center"/>
    </xf>
    <xf numFmtId="40" fontId="15" fillId="0" borderId="0" xfId="1" applyNumberFormat="1" applyFont="1" applyBorder="1" applyAlignment="1">
      <alignment horizontal="center"/>
    </xf>
    <xf numFmtId="40" fontId="16" fillId="0" borderId="31" xfId="1" applyNumberFormat="1" applyFont="1" applyBorder="1" applyAlignment="1">
      <alignment horizontal="center"/>
    </xf>
    <xf numFmtId="40" fontId="17" fillId="0" borderId="0" xfId="1" applyNumberFormat="1" applyFont="1" applyBorder="1" applyAlignment="1">
      <alignment horizontal="center"/>
    </xf>
    <xf numFmtId="40" fontId="17" fillId="0" borderId="0" xfId="1" applyNumberFormat="1" applyFont="1" applyAlignment="1">
      <alignment horizontal="center"/>
    </xf>
    <xf numFmtId="40" fontId="17" fillId="0" borderId="0" xfId="1" applyNumberFormat="1" applyFont="1" applyAlignment="1">
      <alignment horizontal="center" vertical="center"/>
    </xf>
    <xf numFmtId="40" fontId="17" fillId="0" borderId="1" xfId="1" applyNumberFormat="1" applyFont="1" applyBorder="1" applyAlignment="1">
      <alignment horizontal="center" vertical="center"/>
    </xf>
    <xf numFmtId="40" fontId="16" fillId="0" borderId="31" xfId="1" applyNumberFormat="1" applyFont="1" applyBorder="1" applyAlignment="1">
      <alignment horizontal="center" vertical="center"/>
    </xf>
    <xf numFmtId="40" fontId="17" fillId="0" borderId="0" xfId="1" applyNumberFormat="1" applyFont="1" applyBorder="1" applyAlignment="1">
      <alignment horizontal="center" vertical="center"/>
    </xf>
    <xf numFmtId="40" fontId="17" fillId="0" borderId="7" xfId="1" applyNumberFormat="1" applyFont="1" applyFill="1" applyBorder="1" applyAlignment="1">
      <alignment horizontal="center" vertical="center" wrapText="1"/>
    </xf>
    <xf numFmtId="40" fontId="17" fillId="0" borderId="12" xfId="1" applyNumberFormat="1" applyFont="1" applyFill="1" applyBorder="1" applyAlignment="1">
      <alignment horizontal="center" vertical="center" wrapText="1"/>
    </xf>
    <xf numFmtId="40" fontId="17" fillId="0" borderId="27" xfId="1" applyNumberFormat="1" applyFont="1" applyFill="1" applyBorder="1" applyAlignment="1">
      <alignment horizontal="center" vertical="center" wrapText="1"/>
    </xf>
    <xf numFmtId="40" fontId="17" fillId="0" borderId="23" xfId="1" applyNumberFormat="1" applyFont="1" applyFill="1" applyBorder="1" applyAlignment="1">
      <alignment horizontal="center" vertical="center" wrapText="1"/>
    </xf>
    <xf numFmtId="40" fontId="17" fillId="0" borderId="17" xfId="1" applyNumberFormat="1" applyFont="1" applyFill="1" applyBorder="1" applyAlignment="1">
      <alignment horizontal="center" vertical="center" wrapText="1"/>
    </xf>
    <xf numFmtId="40" fontId="21" fillId="0" borderId="0" xfId="5" applyNumberFormat="1" applyFont="1" applyBorder="1" applyAlignment="1">
      <alignment horizontal="center" vertical="center" readingOrder="1"/>
    </xf>
    <xf numFmtId="40" fontId="13" fillId="0" borderId="1" xfId="3" applyNumberFormat="1" applyFont="1" applyBorder="1" applyAlignment="1">
      <alignment vertical="center"/>
    </xf>
    <xf numFmtId="40" fontId="17" fillId="0" borderId="0" xfId="3" applyNumberFormat="1" applyFont="1" applyAlignment="1">
      <alignment vertical="top" wrapText="1" readingOrder="2"/>
    </xf>
    <xf numFmtId="40" fontId="14" fillId="0" borderId="0" xfId="3" applyNumberFormat="1" applyFont="1" applyAlignment="1">
      <alignment horizontal="left" vertical="center"/>
    </xf>
    <xf numFmtId="40" fontId="17" fillId="0" borderId="7" xfId="1" applyNumberFormat="1" applyFont="1" applyFill="1" applyBorder="1" applyAlignment="1">
      <alignment horizontal="center" vertical="center" wrapText="1" readingOrder="1"/>
    </xf>
    <xf numFmtId="40" fontId="17" fillId="0" borderId="12" xfId="1" applyNumberFormat="1" applyFont="1" applyFill="1" applyBorder="1" applyAlignment="1">
      <alignment horizontal="center" vertical="center" wrapText="1" readingOrder="1"/>
    </xf>
    <xf numFmtId="40" fontId="17" fillId="0" borderId="17" xfId="1" applyNumberFormat="1" applyFont="1" applyFill="1" applyBorder="1" applyAlignment="1">
      <alignment horizontal="center" vertical="center" wrapText="1" readingOrder="1"/>
    </xf>
    <xf numFmtId="40" fontId="19" fillId="0" borderId="0" xfId="5" applyNumberFormat="1" applyFont="1" applyBorder="1" applyAlignment="1">
      <alignment horizontal="left" vertical="center" readingOrder="1"/>
    </xf>
    <xf numFmtId="40" fontId="17" fillId="18" borderId="12" xfId="1" applyNumberFormat="1" applyFont="1" applyFill="1" applyBorder="1" applyAlignment="1">
      <alignment horizontal="center" vertical="center" wrapText="1" readingOrder="1"/>
    </xf>
    <xf numFmtId="40" fontId="17" fillId="17" borderId="12" xfId="1" applyNumberFormat="1" applyFont="1" applyFill="1" applyBorder="1" applyAlignment="1">
      <alignment horizontal="center" vertical="center" wrapText="1" readingOrder="1"/>
    </xf>
    <xf numFmtId="40" fontId="17" fillId="17" borderId="15" xfId="1" applyNumberFormat="1" applyFont="1" applyFill="1" applyBorder="1" applyAlignment="1">
      <alignment horizontal="center" vertical="center" wrapText="1"/>
    </xf>
    <xf numFmtId="40" fontId="17" fillId="17" borderId="26" xfId="1" applyNumberFormat="1" applyFont="1" applyFill="1" applyBorder="1" applyAlignment="1">
      <alignment horizontal="center" vertical="center" wrapText="1"/>
    </xf>
    <xf numFmtId="40" fontId="20" fillId="8" borderId="6" xfId="4" applyNumberFormat="1" applyFont="1" applyFill="1" applyBorder="1" applyAlignment="1">
      <alignment horizontal="center" vertical="center" wrapText="1"/>
    </xf>
    <xf numFmtId="0" fontId="20" fillId="8" borderId="2" xfId="3" applyFont="1" applyFill="1" applyBorder="1" applyAlignment="1">
      <alignment horizontal="center" vertical="center" wrapText="1"/>
    </xf>
    <xf numFmtId="0" fontId="20" fillId="8" borderId="3" xfId="3" applyFont="1" applyFill="1" applyBorder="1" applyAlignment="1">
      <alignment horizontal="center" vertical="center" wrapText="1"/>
    </xf>
    <xf numFmtId="40" fontId="20" fillId="8" borderId="3" xfId="3" applyNumberFormat="1" applyFont="1" applyFill="1" applyBorder="1" applyAlignment="1">
      <alignment horizontal="center" vertical="center" wrapText="1"/>
    </xf>
    <xf numFmtId="40" fontId="20" fillId="8" borderId="4" xfId="3" applyNumberFormat="1" applyFont="1" applyFill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10" fontId="20" fillId="8" borderId="6" xfId="4" applyNumberFormat="1" applyFont="1" applyFill="1" applyBorder="1" applyAlignment="1">
      <alignment horizontal="center" vertical="center" wrapText="1"/>
    </xf>
    <xf numFmtId="40" fontId="20" fillId="8" borderId="6" xfId="3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32" fillId="0" borderId="8" xfId="3" applyFont="1" applyBorder="1" applyAlignment="1">
      <alignment horizontal="center" vertical="center" wrapText="1"/>
    </xf>
    <xf numFmtId="0" fontId="33" fillId="0" borderId="9" xfId="3" applyFont="1" applyBorder="1" applyAlignment="1">
      <alignment horizontal="left" vertical="center" wrapText="1"/>
    </xf>
    <xf numFmtId="38" fontId="17" fillId="0" borderId="5" xfId="5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32" fillId="0" borderId="13" xfId="3" applyFont="1" applyBorder="1" applyAlignment="1">
      <alignment horizontal="center" vertical="center" wrapText="1"/>
    </xf>
    <xf numFmtId="0" fontId="33" fillId="0" borderId="14" xfId="3" applyFont="1" applyBorder="1" applyAlignment="1">
      <alignment horizontal="left" vertical="center" wrapText="1"/>
    </xf>
    <xf numFmtId="0" fontId="33" fillId="0" borderId="14" xfId="3" applyFont="1" applyBorder="1" applyAlignment="1">
      <alignment horizontal="left" vertical="center"/>
    </xf>
    <xf numFmtId="0" fontId="32" fillId="0" borderId="28" xfId="3" applyFont="1" applyBorder="1" applyAlignment="1">
      <alignment horizontal="center" vertical="center" wrapText="1"/>
    </xf>
    <xf numFmtId="0" fontId="33" fillId="0" borderId="29" xfId="3" applyFont="1" applyBorder="1" applyAlignment="1">
      <alignment horizontal="left" vertical="center" wrapText="1"/>
    </xf>
    <xf numFmtId="0" fontId="32" fillId="17" borderId="13" xfId="3" applyFont="1" applyFill="1" applyBorder="1" applyAlignment="1">
      <alignment horizontal="center" vertical="center" wrapText="1"/>
    </xf>
    <xf numFmtId="0" fontId="32" fillId="17" borderId="24" xfId="3" applyFont="1" applyFill="1" applyBorder="1" applyAlignment="1">
      <alignment horizontal="center" vertical="center" wrapText="1"/>
    </xf>
    <xf numFmtId="0" fontId="33" fillId="0" borderId="25" xfId="3" applyFont="1" applyBorder="1" applyAlignment="1">
      <alignment horizontal="left" vertical="center" wrapText="1"/>
    </xf>
    <xf numFmtId="0" fontId="32" fillId="0" borderId="24" xfId="3" applyFont="1" applyBorder="1" applyAlignment="1">
      <alignment horizontal="center" vertical="center" wrapText="1"/>
    </xf>
    <xf numFmtId="0" fontId="33" fillId="0" borderId="25" xfId="3" applyFont="1" applyBorder="1" applyAlignment="1">
      <alignment horizontal="right" vertical="center" wrapText="1"/>
    </xf>
    <xf numFmtId="0" fontId="32" fillId="0" borderId="18" xfId="3" applyFont="1" applyBorder="1" applyAlignment="1">
      <alignment horizontal="center" vertical="center" wrapText="1"/>
    </xf>
    <xf numFmtId="0" fontId="33" fillId="0" borderId="19" xfId="3" applyFont="1" applyBorder="1" applyAlignment="1">
      <alignment horizontal="right" vertical="center" wrapText="1"/>
    </xf>
    <xf numFmtId="40" fontId="17" fillId="0" borderId="6" xfId="1" applyNumberFormat="1" applyFont="1" applyFill="1" applyBorder="1" applyAlignment="1">
      <alignment horizontal="center" vertical="center" wrapText="1"/>
    </xf>
    <xf numFmtId="40" fontId="17" fillId="0" borderId="32" xfId="1" applyNumberFormat="1" applyFont="1" applyFill="1" applyBorder="1" applyAlignment="1">
      <alignment horizontal="center" vertical="center" wrapText="1"/>
    </xf>
    <xf numFmtId="4" fontId="14" fillId="0" borderId="0" xfId="3" applyNumberFormat="1" applyFont="1" applyAlignment="1">
      <alignment horizontal="left" vertical="center"/>
    </xf>
    <xf numFmtId="4" fontId="15" fillId="0" borderId="0" xfId="3" applyNumberFormat="1" applyFont="1" applyAlignment="1">
      <alignment vertical="center"/>
    </xf>
    <xf numFmtId="4" fontId="20" fillId="8" borderId="6" xfId="4" applyNumberFormat="1" applyFont="1" applyFill="1" applyBorder="1" applyAlignment="1">
      <alignment horizontal="center" vertical="center" wrapText="1"/>
    </xf>
    <xf numFmtId="4" fontId="17" fillId="0" borderId="7" xfId="4" applyNumberFormat="1" applyFont="1" applyFill="1" applyBorder="1" applyAlignment="1">
      <alignment horizontal="center" vertical="center" wrapText="1"/>
    </xf>
    <xf numFmtId="4" fontId="17" fillId="0" borderId="12" xfId="4" applyNumberFormat="1" applyFont="1" applyFill="1" applyBorder="1" applyAlignment="1">
      <alignment horizontal="center" vertical="center" wrapText="1"/>
    </xf>
    <xf numFmtId="4" fontId="17" fillId="18" borderId="12" xfId="4" applyNumberFormat="1" applyFont="1" applyFill="1" applyBorder="1" applyAlignment="1">
      <alignment horizontal="center" vertical="center" wrapText="1"/>
    </xf>
    <xf numFmtId="4" fontId="17" fillId="17" borderId="12" xfId="4" applyNumberFormat="1" applyFont="1" applyFill="1" applyBorder="1" applyAlignment="1">
      <alignment horizontal="center" vertical="center" wrapText="1"/>
    </xf>
    <xf numFmtId="4" fontId="17" fillId="0" borderId="17" xfId="4" applyNumberFormat="1" applyFont="1" applyFill="1" applyBorder="1" applyAlignment="1">
      <alignment horizontal="center" vertical="center" wrapText="1"/>
    </xf>
    <xf numFmtId="4" fontId="19" fillId="0" borderId="0" xfId="5" applyNumberFormat="1" applyFont="1" applyBorder="1" applyAlignment="1">
      <alignment horizontal="left" vertical="center" readingOrder="1"/>
    </xf>
    <xf numFmtId="4" fontId="21" fillId="0" borderId="22" xfId="1" applyNumberFormat="1" applyFont="1" applyBorder="1" applyAlignment="1">
      <alignment horizontal="center" vertical="center" readingOrder="1"/>
    </xf>
    <xf numFmtId="4" fontId="19" fillId="0" borderId="0" xfId="3" applyNumberFormat="1" applyFont="1" applyAlignment="1">
      <alignment vertical="center"/>
    </xf>
    <xf numFmtId="4" fontId="15" fillId="0" borderId="1" xfId="3" applyNumberFormat="1" applyFont="1" applyBorder="1" applyAlignment="1">
      <alignment vertical="center"/>
    </xf>
    <xf numFmtId="4" fontId="17" fillId="0" borderId="0" xfId="3" applyNumberFormat="1" applyFont="1" applyAlignment="1">
      <alignment vertical="top" wrapText="1" readingOrder="2"/>
    </xf>
    <xf numFmtId="40" fontId="17" fillId="13" borderId="12" xfId="1" applyNumberFormat="1" applyFont="1" applyFill="1" applyBorder="1" applyAlignment="1">
      <alignment horizontal="center" vertical="center" wrapText="1"/>
    </xf>
    <xf numFmtId="40" fontId="17" fillId="13" borderId="12" xfId="1" applyNumberFormat="1" applyFont="1" applyFill="1" applyBorder="1" applyAlignment="1">
      <alignment horizontal="center" vertical="center" wrapText="1" readingOrder="1"/>
    </xf>
    <xf numFmtId="40" fontId="17" fillId="14" borderId="15" xfId="1" applyNumberFormat="1" applyFont="1" applyFill="1" applyBorder="1" applyAlignment="1">
      <alignment horizontal="center" vertical="center" wrapText="1"/>
    </xf>
    <xf numFmtId="40" fontId="17" fillId="14" borderId="12" xfId="1" applyNumberFormat="1" applyFont="1" applyFill="1" applyBorder="1" applyAlignment="1">
      <alignment horizontal="center" vertical="center" wrapText="1"/>
    </xf>
    <xf numFmtId="40" fontId="17" fillId="14" borderId="23" xfId="1" applyNumberFormat="1" applyFont="1" applyFill="1" applyBorder="1" applyAlignment="1">
      <alignment horizontal="center" vertical="center" wrapText="1"/>
    </xf>
    <xf numFmtId="40" fontId="17" fillId="14" borderId="26" xfId="1" applyNumberFormat="1" applyFont="1" applyFill="1" applyBorder="1" applyAlignment="1">
      <alignment horizontal="center" vertical="center" wrapText="1"/>
    </xf>
    <xf numFmtId="0" fontId="32" fillId="14" borderId="24" xfId="3" applyFont="1" applyFill="1" applyBorder="1" applyAlignment="1">
      <alignment horizontal="center" vertical="center" wrapText="1"/>
    </xf>
    <xf numFmtId="0" fontId="32" fillId="14" borderId="13" xfId="3" applyFont="1" applyFill="1" applyBorder="1" applyAlignment="1">
      <alignment horizontal="center" vertical="center" wrapText="1"/>
    </xf>
    <xf numFmtId="40" fontId="17" fillId="17" borderId="27" xfId="1" applyNumberFormat="1" applyFont="1" applyFill="1" applyBorder="1" applyAlignment="1">
      <alignment horizontal="center" vertical="center" wrapText="1"/>
    </xf>
    <xf numFmtId="40" fontId="17" fillId="17" borderId="7" xfId="1" applyNumberFormat="1" applyFont="1" applyFill="1" applyBorder="1" applyAlignment="1">
      <alignment horizontal="center" vertical="center" wrapText="1"/>
    </xf>
    <xf numFmtId="0" fontId="32" fillId="16" borderId="13" xfId="3" applyFont="1" applyFill="1" applyBorder="1" applyAlignment="1">
      <alignment horizontal="center" vertical="center" wrapText="1"/>
    </xf>
    <xf numFmtId="40" fontId="17" fillId="16" borderId="15" xfId="1" applyNumberFormat="1" applyFont="1" applyFill="1" applyBorder="1" applyAlignment="1">
      <alignment horizontal="center" vertical="center" wrapText="1"/>
    </xf>
    <xf numFmtId="10" fontId="17" fillId="16" borderId="12" xfId="4" applyNumberFormat="1" applyFont="1" applyFill="1" applyBorder="1" applyAlignment="1">
      <alignment horizontal="center" vertical="center" wrapText="1"/>
    </xf>
    <xf numFmtId="40" fontId="17" fillId="16" borderId="12" xfId="1" applyNumberFormat="1" applyFont="1" applyFill="1" applyBorder="1" applyAlignment="1">
      <alignment horizontal="center" vertical="center" wrapText="1" readingOrder="1"/>
    </xf>
    <xf numFmtId="40" fontId="17" fillId="16" borderId="12" xfId="1" applyNumberFormat="1" applyFont="1" applyFill="1" applyBorder="1" applyAlignment="1">
      <alignment horizontal="center" vertical="center" wrapText="1"/>
    </xf>
    <xf numFmtId="40" fontId="17" fillId="16" borderId="7" xfId="1" applyNumberFormat="1" applyFont="1" applyFill="1" applyBorder="1" applyAlignment="1">
      <alignment horizontal="center" vertical="center" wrapText="1"/>
    </xf>
    <xf numFmtId="0" fontId="17" fillId="16" borderId="12" xfId="3" applyFont="1" applyFill="1" applyBorder="1" applyAlignment="1">
      <alignment horizontal="center" vertical="center" wrapText="1"/>
    </xf>
    <xf numFmtId="0" fontId="33" fillId="16" borderId="14" xfId="3" applyFont="1" applyFill="1" applyBorder="1" applyAlignment="1">
      <alignment horizontal="left" vertical="center" wrapText="1"/>
    </xf>
    <xf numFmtId="0" fontId="17" fillId="16" borderId="15" xfId="3" applyFont="1" applyFill="1" applyBorder="1" applyAlignment="1">
      <alignment horizontal="center" vertical="center" wrapText="1"/>
    </xf>
    <xf numFmtId="40" fontId="17" fillId="16" borderId="15" xfId="5" applyNumberFormat="1" applyFont="1" applyFill="1" applyBorder="1" applyAlignment="1">
      <alignment horizontal="center" vertical="center" wrapText="1" readingOrder="2"/>
    </xf>
    <xf numFmtId="40" fontId="17" fillId="16" borderId="16" xfId="1" applyNumberFormat="1" applyFont="1" applyFill="1" applyBorder="1" applyAlignment="1">
      <alignment horizontal="center" vertical="center" wrapText="1" readingOrder="1"/>
    </xf>
    <xf numFmtId="38" fontId="17" fillId="16" borderId="5" xfId="5" applyNumberFormat="1" applyFont="1" applyFill="1" applyBorder="1" applyAlignment="1">
      <alignment horizontal="center" vertical="center" wrapText="1"/>
    </xf>
    <xf numFmtId="40" fontId="17" fillId="16" borderId="27" xfId="1" applyNumberFormat="1" applyFont="1" applyFill="1" applyBorder="1" applyAlignment="1">
      <alignment horizontal="center" vertical="center" wrapText="1"/>
    </xf>
    <xf numFmtId="0" fontId="17" fillId="16" borderId="0" xfId="3" applyFont="1" applyFill="1" applyAlignment="1">
      <alignment horizontal="center" vertical="center" wrapText="1"/>
    </xf>
    <xf numFmtId="0" fontId="32" fillId="16" borderId="24" xfId="3" applyFont="1" applyFill="1" applyBorder="1" applyAlignment="1">
      <alignment horizontal="center" vertical="center" wrapText="1"/>
    </xf>
    <xf numFmtId="0" fontId="33" fillId="16" borderId="25" xfId="3" applyFont="1" applyFill="1" applyBorder="1" applyAlignment="1">
      <alignment horizontal="left" vertical="center" wrapText="1"/>
    </xf>
    <xf numFmtId="40" fontId="17" fillId="16" borderId="26" xfId="1" applyNumberFormat="1" applyFont="1" applyFill="1" applyBorder="1" applyAlignment="1">
      <alignment horizontal="center" vertical="center" wrapText="1"/>
    </xf>
    <xf numFmtId="40" fontId="17" fillId="16" borderId="26" xfId="5" applyNumberFormat="1" applyFont="1" applyFill="1" applyBorder="1" applyAlignment="1">
      <alignment horizontal="center" vertical="center" wrapText="1" readingOrder="2"/>
    </xf>
    <xf numFmtId="40" fontId="17" fillId="16" borderId="23" xfId="1" applyNumberFormat="1" applyFont="1" applyFill="1" applyBorder="1" applyAlignment="1">
      <alignment horizontal="center" vertical="center" wrapText="1"/>
    </xf>
    <xf numFmtId="40" fontId="20" fillId="13" borderId="6" xfId="4" applyNumberFormat="1" applyFont="1" applyFill="1" applyBorder="1" applyAlignment="1">
      <alignment horizontal="center" vertical="center" wrapText="1"/>
    </xf>
    <xf numFmtId="1" fontId="0" fillId="13" borderId="0" xfId="0" applyNumberFormat="1" applyFill="1"/>
    <xf numFmtId="49" fontId="0" fillId="13" borderId="0" xfId="0" applyNumberFormat="1" applyFill="1"/>
    <xf numFmtId="165" fontId="0" fillId="13" borderId="0" xfId="0" applyNumberFormat="1" applyFill="1"/>
    <xf numFmtId="49" fontId="0" fillId="13" borderId="0" xfId="0" applyNumberFormat="1" applyFill="1" applyAlignment="1">
      <alignment horizontal="right"/>
    </xf>
    <xf numFmtId="4" fontId="0" fillId="13" borderId="0" xfId="0" applyNumberFormat="1" applyFill="1"/>
    <xf numFmtId="0" fontId="4" fillId="13" borderId="0" xfId="0" applyFont="1" applyFill="1"/>
    <xf numFmtId="0" fontId="0" fillId="13" borderId="0" xfId="0" applyFill="1"/>
    <xf numFmtId="49" fontId="4" fillId="13" borderId="0" xfId="0" applyNumberFormat="1" applyFont="1" applyFill="1"/>
    <xf numFmtId="1" fontId="0" fillId="17" borderId="0" xfId="0" applyNumberFormat="1" applyFill="1"/>
    <xf numFmtId="49" fontId="0" fillId="17" borderId="0" xfId="0" applyNumberFormat="1" applyFill="1"/>
    <xf numFmtId="165" fontId="0" fillId="17" borderId="0" xfId="0" applyNumberFormat="1" applyFill="1"/>
    <xf numFmtId="49" fontId="0" fillId="17" borderId="0" xfId="0" applyNumberFormat="1" applyFill="1" applyAlignment="1">
      <alignment horizontal="right"/>
    </xf>
    <xf numFmtId="4" fontId="0" fillId="17" borderId="0" xfId="0" applyNumberFormat="1" applyFill="1"/>
    <xf numFmtId="0" fontId="0" fillId="17" borderId="0" xfId="0" applyFill="1"/>
    <xf numFmtId="40" fontId="20" fillId="17" borderId="6" xfId="4" applyNumberFormat="1" applyFont="1" applyFill="1" applyBorder="1" applyAlignment="1">
      <alignment horizontal="center" vertical="center" wrapText="1"/>
    </xf>
    <xf numFmtId="40" fontId="17" fillId="0" borderId="0" xfId="3" applyNumberFormat="1" applyFont="1" applyAlignment="1">
      <alignment horizontal="center" vertical="center" wrapText="1"/>
    </xf>
    <xf numFmtId="40" fontId="17" fillId="19" borderId="15" xfId="1" applyNumberFormat="1" applyFont="1" applyFill="1" applyBorder="1" applyAlignment="1">
      <alignment horizontal="center" vertical="center" wrapText="1"/>
    </xf>
    <xf numFmtId="40" fontId="17" fillId="19" borderId="12" xfId="1" applyNumberFormat="1" applyFont="1" applyFill="1" applyBorder="1" applyAlignment="1">
      <alignment horizontal="center" vertical="center" wrapText="1"/>
    </xf>
    <xf numFmtId="40" fontId="17" fillId="19" borderId="26" xfId="1" applyNumberFormat="1" applyFont="1" applyFill="1" applyBorder="1" applyAlignment="1">
      <alignment horizontal="center" vertical="center" wrapText="1"/>
    </xf>
    <xf numFmtId="40" fontId="17" fillId="19" borderId="23" xfId="1" applyNumberFormat="1" applyFont="1" applyFill="1" applyBorder="1" applyAlignment="1">
      <alignment horizontal="center" vertical="center" wrapText="1"/>
    </xf>
    <xf numFmtId="40" fontId="36" fillId="19" borderId="15" xfId="1" applyNumberFormat="1" applyFont="1" applyFill="1" applyBorder="1" applyAlignment="1">
      <alignment horizontal="center" vertical="center" wrapText="1"/>
    </xf>
    <xf numFmtId="40" fontId="36" fillId="19" borderId="26" xfId="1" applyNumberFormat="1" applyFont="1" applyFill="1" applyBorder="1" applyAlignment="1">
      <alignment horizontal="center" vertical="center" wrapText="1"/>
    </xf>
    <xf numFmtId="40" fontId="36" fillId="19" borderId="12" xfId="1" applyNumberFormat="1" applyFont="1" applyFill="1" applyBorder="1" applyAlignment="1">
      <alignment horizontal="center" vertical="center" wrapText="1"/>
    </xf>
    <xf numFmtId="10" fontId="17" fillId="19" borderId="12" xfId="4" applyNumberFormat="1" applyFont="1" applyFill="1" applyBorder="1" applyAlignment="1">
      <alignment horizontal="center" vertical="center" wrapText="1"/>
    </xf>
    <xf numFmtId="4" fontId="37" fillId="11" borderId="0" xfId="0" applyNumberFormat="1" applyFont="1" applyFill="1"/>
    <xf numFmtId="40" fontId="36" fillId="20" borderId="12" xfId="1" applyNumberFormat="1" applyFont="1" applyFill="1" applyBorder="1" applyAlignment="1">
      <alignment horizontal="center" vertical="center" wrapText="1" readingOrder="1"/>
    </xf>
    <xf numFmtId="40" fontId="36" fillId="20" borderId="23" xfId="1" applyNumberFormat="1" applyFont="1" applyFill="1" applyBorder="1" applyAlignment="1">
      <alignment horizontal="center" vertical="center" wrapText="1"/>
    </xf>
    <xf numFmtId="40" fontId="21" fillId="13" borderId="0" xfId="5" applyNumberFormat="1" applyFont="1" applyFill="1" applyBorder="1" applyAlignment="1">
      <alignment horizontal="center" vertical="center" readingOrder="1"/>
    </xf>
    <xf numFmtId="40" fontId="17" fillId="12" borderId="27" xfId="1" applyNumberFormat="1" applyFont="1" applyFill="1" applyBorder="1" applyAlignment="1">
      <alignment horizontal="center" vertical="center" wrapText="1"/>
    </xf>
    <xf numFmtId="40" fontId="17" fillId="12" borderId="12" xfId="1" applyNumberFormat="1" applyFont="1" applyFill="1" applyBorder="1" applyAlignment="1">
      <alignment horizontal="center" vertical="center" wrapText="1" readingOrder="1"/>
    </xf>
    <xf numFmtId="0" fontId="17" fillId="21" borderId="12" xfId="3" applyFont="1" applyFill="1" applyBorder="1" applyAlignment="1">
      <alignment horizontal="center" vertical="center" wrapText="1"/>
    </xf>
    <xf numFmtId="0" fontId="32" fillId="21" borderId="13" xfId="3" applyFont="1" applyFill="1" applyBorder="1" applyAlignment="1">
      <alignment horizontal="center" vertical="center" wrapText="1"/>
    </xf>
    <xf numFmtId="0" fontId="33" fillId="21" borderId="14" xfId="3" applyFont="1" applyFill="1" applyBorder="1" applyAlignment="1">
      <alignment horizontal="left" vertical="center" wrapText="1"/>
    </xf>
    <xf numFmtId="0" fontId="17" fillId="21" borderId="15" xfId="3" applyFont="1" applyFill="1" applyBorder="1" applyAlignment="1">
      <alignment horizontal="center" vertical="center" wrapText="1"/>
    </xf>
    <xf numFmtId="40" fontId="17" fillId="21" borderId="15" xfId="1" applyNumberFormat="1" applyFont="1" applyFill="1" applyBorder="1" applyAlignment="1">
      <alignment horizontal="center" vertical="center" wrapText="1"/>
    </xf>
    <xf numFmtId="40" fontId="17" fillId="21" borderId="16" xfId="1" applyNumberFormat="1" applyFont="1" applyFill="1" applyBorder="1" applyAlignment="1">
      <alignment horizontal="center" vertical="center" wrapText="1" readingOrder="1"/>
    </xf>
    <xf numFmtId="38" fontId="17" fillId="21" borderId="5" xfId="5" applyNumberFormat="1" applyFont="1" applyFill="1" applyBorder="1" applyAlignment="1">
      <alignment horizontal="center" vertical="center" wrapText="1"/>
    </xf>
    <xf numFmtId="40" fontId="17" fillId="21" borderId="12" xfId="1" applyNumberFormat="1" applyFont="1" applyFill="1" applyBorder="1" applyAlignment="1">
      <alignment horizontal="center" vertical="center" wrapText="1"/>
    </xf>
    <xf numFmtId="40" fontId="36" fillId="21" borderId="12" xfId="1" applyNumberFormat="1" applyFont="1" applyFill="1" applyBorder="1" applyAlignment="1">
      <alignment horizontal="center" vertical="center" wrapText="1"/>
    </xf>
    <xf numFmtId="40" fontId="17" fillId="21" borderId="7" xfId="1" applyNumberFormat="1" applyFont="1" applyFill="1" applyBorder="1" applyAlignment="1">
      <alignment horizontal="center" vertical="center" wrapText="1"/>
    </xf>
    <xf numFmtId="10" fontId="17" fillId="21" borderId="12" xfId="4" applyNumberFormat="1" applyFont="1" applyFill="1" applyBorder="1" applyAlignment="1">
      <alignment horizontal="center" vertical="center" wrapText="1"/>
    </xf>
    <xf numFmtId="40" fontId="17" fillId="21" borderId="12" xfId="1" applyNumberFormat="1" applyFont="1" applyFill="1" applyBorder="1" applyAlignment="1">
      <alignment horizontal="center" vertical="center" wrapText="1" readingOrder="1"/>
    </xf>
    <xf numFmtId="0" fontId="17" fillId="21" borderId="0" xfId="3" applyFont="1" applyFill="1" applyAlignment="1">
      <alignment horizontal="center" vertical="center" wrapText="1"/>
    </xf>
    <xf numFmtId="40" fontId="36" fillId="21" borderId="12" xfId="1" applyNumberFormat="1" applyFont="1" applyFill="1" applyBorder="1" applyAlignment="1">
      <alignment horizontal="center" vertical="center" wrapText="1" readingOrder="1"/>
    </xf>
    <xf numFmtId="0" fontId="32" fillId="21" borderId="24" xfId="3" applyFont="1" applyFill="1" applyBorder="1" applyAlignment="1">
      <alignment horizontal="center" vertical="center" wrapText="1"/>
    </xf>
    <xf numFmtId="0" fontId="33" fillId="21" borderId="25" xfId="3" applyFont="1" applyFill="1" applyBorder="1" applyAlignment="1">
      <alignment horizontal="left" vertical="center" wrapText="1"/>
    </xf>
    <xf numFmtId="40" fontId="17" fillId="21" borderId="26" xfId="1" applyNumberFormat="1" applyFont="1" applyFill="1" applyBorder="1" applyAlignment="1">
      <alignment horizontal="center" vertical="center" wrapText="1"/>
    </xf>
    <xf numFmtId="40" fontId="17" fillId="21" borderId="23" xfId="1" applyNumberFormat="1" applyFont="1" applyFill="1" applyBorder="1" applyAlignment="1">
      <alignment horizontal="center" vertical="center" wrapText="1"/>
    </xf>
    <xf numFmtId="40" fontId="36" fillId="21" borderId="23" xfId="1" applyNumberFormat="1" applyFont="1" applyFill="1" applyBorder="1" applyAlignment="1">
      <alignment horizontal="center" vertical="center" wrapText="1"/>
    </xf>
    <xf numFmtId="40" fontId="17" fillId="12" borderId="26" xfId="1" applyNumberFormat="1" applyFont="1" applyFill="1" applyBorder="1" applyAlignment="1">
      <alignment horizontal="center" vertical="center" wrapText="1"/>
    </xf>
    <xf numFmtId="40" fontId="36" fillId="12" borderId="23" xfId="1" applyNumberFormat="1" applyFont="1" applyFill="1" applyBorder="1" applyAlignment="1">
      <alignment horizontal="center" vertical="center" wrapText="1"/>
    </xf>
    <xf numFmtId="40" fontId="36" fillId="12" borderId="12" xfId="1" applyNumberFormat="1" applyFont="1" applyFill="1" applyBorder="1" applyAlignment="1">
      <alignment horizontal="center" vertical="center" wrapText="1"/>
    </xf>
    <xf numFmtId="0" fontId="17" fillId="0" borderId="0" xfId="3" applyFont="1" applyAlignment="1">
      <alignment horizontal="right" vertical="top" wrapText="1"/>
    </xf>
    <xf numFmtId="0" fontId="17" fillId="0" borderId="0" xfId="3" applyFont="1" applyAlignment="1">
      <alignment horizontal="right" vertical="top" wrapText="1" readingOrder="2"/>
    </xf>
    <xf numFmtId="0" fontId="17" fillId="0" borderId="0" xfId="3" applyFont="1" applyAlignment="1">
      <alignment horizontal="right" vertical="top" wrapText="1" indent="1" readingOrder="2"/>
    </xf>
    <xf numFmtId="0" fontId="19" fillId="0" borderId="0" xfId="3" applyFont="1" applyAlignment="1">
      <alignment horizontal="right" vertical="top" wrapText="1" readingOrder="2"/>
    </xf>
    <xf numFmtId="0" fontId="19" fillId="0" borderId="0" xfId="3" applyFont="1" applyAlignment="1">
      <alignment horizontal="right" vertical="top" wrapText="1" indent="1" readingOrder="2"/>
    </xf>
    <xf numFmtId="169" fontId="14" fillId="0" borderId="0" xfId="4" applyNumberFormat="1" applyFont="1" applyAlignment="1">
      <alignment vertical="center"/>
    </xf>
    <xf numFmtId="169" fontId="14" fillId="0" borderId="0" xfId="4" applyNumberFormat="1" applyFont="1" applyBorder="1" applyAlignment="1">
      <alignment vertical="center"/>
    </xf>
    <xf numFmtId="169" fontId="15" fillId="0" borderId="0" xfId="4" applyNumberFormat="1" applyFont="1" applyAlignment="1">
      <alignment vertical="center"/>
    </xf>
    <xf numFmtId="169" fontId="20" fillId="8" borderId="3" xfId="3" applyNumberFormat="1" applyFont="1" applyFill="1" applyBorder="1" applyAlignment="1">
      <alignment horizontal="center" vertical="center" wrapText="1"/>
    </xf>
    <xf numFmtId="169" fontId="17" fillId="0" borderId="10" xfId="5" applyNumberFormat="1" applyFont="1" applyFill="1" applyBorder="1" applyAlignment="1">
      <alignment horizontal="center" vertical="center" wrapText="1" readingOrder="2"/>
    </xf>
    <xf numFmtId="169" fontId="17" fillId="0" borderId="15" xfId="5" applyNumberFormat="1" applyFont="1" applyFill="1" applyBorder="1" applyAlignment="1">
      <alignment horizontal="center" vertical="center" wrapText="1" readingOrder="2"/>
    </xf>
    <xf numFmtId="169" fontId="17" fillId="0" borderId="30" xfId="5" applyNumberFormat="1" applyFont="1" applyFill="1" applyBorder="1" applyAlignment="1">
      <alignment horizontal="center" vertical="center" wrapText="1" readingOrder="2"/>
    </xf>
    <xf numFmtId="169" fontId="17" fillId="0" borderId="26" xfId="5" applyNumberFormat="1" applyFont="1" applyFill="1" applyBorder="1" applyAlignment="1">
      <alignment horizontal="center" vertical="center" wrapText="1" readingOrder="2"/>
    </xf>
    <xf numFmtId="169" fontId="17" fillId="0" borderId="20" xfId="5" applyNumberFormat="1" applyFont="1" applyFill="1" applyBorder="1" applyAlignment="1">
      <alignment horizontal="center" vertical="center" wrapText="1" readingOrder="2"/>
    </xf>
    <xf numFmtId="169" fontId="19" fillId="0" borderId="0" xfId="3" applyNumberFormat="1" applyFont="1" applyAlignment="1">
      <alignment vertical="center"/>
    </xf>
    <xf numFmtId="169" fontId="21" fillId="0" borderId="0" xfId="3" applyNumberFormat="1" applyFont="1" applyAlignment="1">
      <alignment vertical="center"/>
    </xf>
    <xf numFmtId="169" fontId="19" fillId="0" borderId="0" xfId="4" applyNumberFormat="1" applyFont="1" applyBorder="1" applyAlignment="1">
      <alignment vertical="center"/>
    </xf>
    <xf numFmtId="169" fontId="15" fillId="0" borderId="1" xfId="3" applyNumberFormat="1" applyFont="1" applyBorder="1" applyAlignment="1">
      <alignment vertical="center"/>
    </xf>
    <xf numFmtId="169" fontId="15" fillId="0" borderId="0" xfId="3" applyNumberFormat="1" applyFont="1" applyAlignment="1">
      <alignment vertical="center"/>
    </xf>
    <xf numFmtId="169" fontId="17" fillId="0" borderId="0" xfId="3" applyNumberFormat="1" applyFont="1" applyAlignment="1">
      <alignment vertical="center"/>
    </xf>
    <xf numFmtId="169" fontId="17" fillId="0" borderId="0" xfId="4" applyNumberFormat="1" applyFont="1" applyAlignment="1">
      <alignment vertical="center"/>
    </xf>
    <xf numFmtId="169" fontId="17" fillId="0" borderId="0" xfId="4" applyNumberFormat="1" applyFont="1" applyBorder="1" applyAlignment="1">
      <alignment horizontal="left" vertical="center"/>
    </xf>
    <xf numFmtId="1" fontId="0" fillId="22" borderId="0" xfId="0" applyNumberFormat="1" applyFill="1"/>
    <xf numFmtId="49" fontId="0" fillId="22" borderId="0" xfId="0" applyNumberFormat="1" applyFill="1"/>
    <xf numFmtId="165" fontId="0" fillId="22" borderId="0" xfId="0" applyNumberFormat="1" applyFill="1"/>
    <xf numFmtId="49" fontId="0" fillId="22" borderId="0" xfId="0" applyNumberFormat="1" applyFill="1" applyAlignment="1">
      <alignment horizontal="right"/>
    </xf>
    <xf numFmtId="4" fontId="0" fillId="22" borderId="0" xfId="0" applyNumberFormat="1" applyFill="1"/>
    <xf numFmtId="0" fontId="0" fillId="22" borderId="0" xfId="0" applyFill="1"/>
    <xf numFmtId="169" fontId="17" fillId="21" borderId="15" xfId="5" applyNumberFormat="1" applyFont="1" applyFill="1" applyBorder="1" applyAlignment="1">
      <alignment horizontal="center" vertical="center" wrapText="1" readingOrder="2"/>
    </xf>
    <xf numFmtId="169" fontId="17" fillId="21" borderId="26" xfId="5" applyNumberFormat="1" applyFont="1" applyFill="1" applyBorder="1" applyAlignment="1">
      <alignment horizontal="center" vertical="center" wrapText="1" readingOrder="2"/>
    </xf>
  </cellXfs>
  <cellStyles count="6">
    <cellStyle name="Comma" xfId="1" builtinId="3"/>
    <cellStyle name="Comma 2" xfId="5" xr:uid="{D1583D8D-B2D1-4E46-B5BB-6F5F91C7DD10}"/>
    <cellStyle name="Normal" xfId="0" builtinId="0"/>
    <cellStyle name="Normal 2" xfId="3" xr:uid="{3CE46DA5-8D99-4975-834E-B5507208BCA4}"/>
    <cellStyle name="Percent" xfId="2" builtinId="5"/>
    <cellStyle name="Percent 2" xfId="4" xr:uid="{F6D61F90-AE65-49CB-BD25-2F5C27D75CE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F53A-618D-4F2A-ACD6-49F1DBDD5742}">
  <sheetPr>
    <pageSetUpPr fitToPage="1"/>
  </sheetPr>
  <dimension ref="B1:P106"/>
  <sheetViews>
    <sheetView rightToLeft="1" view="pageBreakPreview" zoomScaleNormal="100" zoomScaleSheetLayoutView="100" workbookViewId="0">
      <selection activeCell="H101" sqref="H101"/>
    </sheetView>
  </sheetViews>
  <sheetFormatPr defaultColWidth="9.140625" defaultRowHeight="19.5"/>
  <cols>
    <col min="1" max="1" width="2.7109375" style="49" customWidth="1"/>
    <col min="2" max="2" width="5.7109375" style="49" customWidth="1"/>
    <col min="3" max="3" width="12.140625" style="49" bestFit="1" customWidth="1"/>
    <col min="4" max="4" width="60.5703125" style="49" customWidth="1"/>
    <col min="5" max="5" width="5" style="49" bestFit="1" customWidth="1"/>
    <col min="6" max="6" width="11.140625" style="49" bestFit="1" customWidth="1"/>
    <col min="7" max="7" width="9.140625" style="50" bestFit="1" customWidth="1"/>
    <col min="8" max="8" width="12.85546875" style="49" bestFit="1" customWidth="1"/>
    <col min="9" max="9" width="1.7109375" style="49" customWidth="1"/>
    <col min="10" max="10" width="13.42578125" style="49" bestFit="1" customWidth="1"/>
    <col min="11" max="11" width="10.85546875" style="49" bestFit="1" customWidth="1"/>
    <col min="12" max="12" width="12.85546875" style="49" customWidth="1"/>
    <col min="13" max="13" width="2.7109375" style="49" customWidth="1"/>
    <col min="14" max="14" width="0" style="49" hidden="1" customWidth="1"/>
    <col min="15" max="15" width="16.42578125" style="49" hidden="1" customWidth="1"/>
    <col min="16" max="16" width="10" style="49" hidden="1" customWidth="1"/>
    <col min="17" max="16384" width="9.140625" style="49"/>
  </cols>
  <sheetData>
    <row r="1" spans="2:16" s="45" customFormat="1" ht="27.95" customHeight="1">
      <c r="B1" s="44" t="s">
        <v>286</v>
      </c>
      <c r="C1" s="44"/>
      <c r="E1" s="44"/>
      <c r="G1" s="46"/>
      <c r="L1" s="47" t="s">
        <v>284</v>
      </c>
    </row>
    <row r="2" spans="2:16" s="45" customFormat="1" ht="27.95" customHeight="1">
      <c r="B2" s="44" t="s">
        <v>254</v>
      </c>
      <c r="C2" s="44"/>
      <c r="E2" s="44"/>
      <c r="G2" s="46"/>
      <c r="L2" s="47" t="s">
        <v>278</v>
      </c>
    </row>
    <row r="3" spans="2:16" s="45" customFormat="1" ht="27.95" customHeight="1">
      <c r="B3" s="44" t="s">
        <v>285</v>
      </c>
      <c r="C3" s="44"/>
      <c r="E3" s="44"/>
      <c r="G3" s="138"/>
      <c r="L3" s="47" t="s">
        <v>279</v>
      </c>
    </row>
    <row r="4" spans="2:16" ht="6" customHeight="1"/>
    <row r="5" spans="2:16" s="57" customFormat="1" ht="48">
      <c r="B5" s="51" t="s">
        <v>255</v>
      </c>
      <c r="C5" s="51" t="s">
        <v>256</v>
      </c>
      <c r="D5" s="51" t="s">
        <v>257</v>
      </c>
      <c r="E5" s="52" t="s">
        <v>258</v>
      </c>
      <c r="F5" s="52" t="s">
        <v>259</v>
      </c>
      <c r="G5" s="52" t="s">
        <v>260</v>
      </c>
      <c r="H5" s="53" t="s">
        <v>261</v>
      </c>
      <c r="I5" s="54"/>
      <c r="J5" s="55" t="s">
        <v>282</v>
      </c>
      <c r="K5" s="55" t="s">
        <v>283</v>
      </c>
      <c r="L5" s="56" t="s">
        <v>262</v>
      </c>
      <c r="N5" s="57" t="s">
        <v>263</v>
      </c>
    </row>
    <row r="6" spans="2:16" s="57" customFormat="1" ht="20.100000000000001" customHeight="1">
      <c r="B6" s="58">
        <v>1</v>
      </c>
      <c r="C6" s="103" t="s">
        <v>118</v>
      </c>
      <c r="D6" s="107" t="s">
        <v>119</v>
      </c>
      <c r="E6" s="59" t="s">
        <v>273</v>
      </c>
      <c r="F6" s="113">
        <v>277.5</v>
      </c>
      <c r="G6" s="60">
        <v>1.077</v>
      </c>
      <c r="H6" s="117">
        <f>F6*G6</f>
        <v>298.86750000000001</v>
      </c>
      <c r="I6" s="61"/>
      <c r="J6" s="120">
        <v>0</v>
      </c>
      <c r="K6" s="62">
        <f>J6/F6</f>
        <v>0</v>
      </c>
      <c r="L6" s="124">
        <f>J6*G6</f>
        <v>0</v>
      </c>
      <c r="N6" s="57">
        <v>36</v>
      </c>
      <c r="O6" s="63">
        <f>N6-J6</f>
        <v>36</v>
      </c>
      <c r="P6" s="64">
        <f>N6*G6</f>
        <v>38.771999999999998</v>
      </c>
    </row>
    <row r="7" spans="2:16" s="57" customFormat="1" ht="20.100000000000001" customHeight="1">
      <c r="B7" s="65">
        <v>2</v>
      </c>
      <c r="C7" s="104" t="s">
        <v>35</v>
      </c>
      <c r="D7" s="108" t="s">
        <v>120</v>
      </c>
      <c r="E7" s="66" t="s">
        <v>273</v>
      </c>
      <c r="F7" s="114">
        <v>22</v>
      </c>
      <c r="G7" s="67">
        <v>1.508</v>
      </c>
      <c r="H7" s="118">
        <f>F7*G7</f>
        <v>33.176000000000002</v>
      </c>
      <c r="I7" s="61"/>
      <c r="J7" s="121">
        <v>22</v>
      </c>
      <c r="K7" s="68">
        <f t="shared" ref="K7:K70" si="0">J7/F7</f>
        <v>1</v>
      </c>
      <c r="L7" s="125">
        <f>J7*G7</f>
        <v>33.176000000000002</v>
      </c>
      <c r="N7" s="57">
        <v>4</v>
      </c>
      <c r="O7" s="63">
        <f t="shared" ref="O7:O28" si="1">N7-J7</f>
        <v>-18</v>
      </c>
      <c r="P7" s="64">
        <f t="shared" ref="P7:P28" si="2">N7*G7</f>
        <v>6.032</v>
      </c>
    </row>
    <row r="8" spans="2:16" s="57" customFormat="1" ht="20.100000000000001" customHeight="1">
      <c r="B8" s="65">
        <v>3</v>
      </c>
      <c r="C8" s="104" t="s">
        <v>37</v>
      </c>
      <c r="D8" s="108" t="s">
        <v>121</v>
      </c>
      <c r="E8" s="66" t="s">
        <v>273</v>
      </c>
      <c r="F8" s="114">
        <v>1.5</v>
      </c>
      <c r="G8" s="67">
        <v>2.2970000000000002</v>
      </c>
      <c r="H8" s="118">
        <f t="shared" ref="H8:H71" si="3">F8*G8</f>
        <v>3.4455</v>
      </c>
      <c r="I8" s="61"/>
      <c r="J8" s="121">
        <v>1.5</v>
      </c>
      <c r="K8" s="68">
        <f t="shared" si="0"/>
        <v>1</v>
      </c>
      <c r="L8" s="125">
        <f t="shared" ref="L8:L71" si="4">J8*G8</f>
        <v>3.4455</v>
      </c>
      <c r="N8" s="57">
        <v>112</v>
      </c>
      <c r="O8" s="63">
        <f t="shared" si="1"/>
        <v>110.5</v>
      </c>
      <c r="P8" s="64">
        <f t="shared" si="2"/>
        <v>257.26400000000001</v>
      </c>
    </row>
    <row r="9" spans="2:16" s="57" customFormat="1" ht="20.100000000000001" customHeight="1">
      <c r="B9" s="65">
        <v>4</v>
      </c>
      <c r="C9" s="104" t="s">
        <v>48</v>
      </c>
      <c r="D9" s="108" t="s">
        <v>122</v>
      </c>
      <c r="E9" s="66" t="s">
        <v>273</v>
      </c>
      <c r="F9" s="114">
        <v>1558</v>
      </c>
      <c r="G9" s="67">
        <v>1.149</v>
      </c>
      <c r="H9" s="118">
        <f t="shared" si="3"/>
        <v>1790.1420000000001</v>
      </c>
      <c r="I9" s="61"/>
      <c r="J9" s="121">
        <v>1558</v>
      </c>
      <c r="K9" s="68">
        <f t="shared" si="0"/>
        <v>1</v>
      </c>
      <c r="L9" s="125">
        <f t="shared" si="4"/>
        <v>1790.1420000000001</v>
      </c>
      <c r="N9" s="57">
        <v>30</v>
      </c>
      <c r="O9" s="63">
        <f t="shared" si="1"/>
        <v>-1528</v>
      </c>
      <c r="P9" s="64">
        <f t="shared" si="2"/>
        <v>34.47</v>
      </c>
    </row>
    <row r="10" spans="2:16" s="57" customFormat="1" ht="20.100000000000001" customHeight="1">
      <c r="B10" s="65">
        <v>5</v>
      </c>
      <c r="C10" s="104" t="s">
        <v>50</v>
      </c>
      <c r="D10" s="108" t="s">
        <v>123</v>
      </c>
      <c r="E10" s="66" t="s">
        <v>273</v>
      </c>
      <c r="F10" s="114">
        <v>122.5</v>
      </c>
      <c r="G10" s="67">
        <v>1.7230000000000001</v>
      </c>
      <c r="H10" s="118">
        <f t="shared" si="3"/>
        <v>211.06750000000002</v>
      </c>
      <c r="I10" s="61"/>
      <c r="J10" s="121">
        <v>122.5</v>
      </c>
      <c r="K10" s="68">
        <f t="shared" si="0"/>
        <v>1</v>
      </c>
      <c r="L10" s="125">
        <f t="shared" si="4"/>
        <v>211.06750000000002</v>
      </c>
      <c r="N10" s="57">
        <v>54</v>
      </c>
      <c r="O10" s="63">
        <f t="shared" si="1"/>
        <v>-68.5</v>
      </c>
      <c r="P10" s="64">
        <f t="shared" si="2"/>
        <v>93.042000000000002</v>
      </c>
    </row>
    <row r="11" spans="2:16" s="57" customFormat="1" ht="20.100000000000001" customHeight="1">
      <c r="B11" s="65">
        <v>6</v>
      </c>
      <c r="C11" s="104" t="s">
        <v>52</v>
      </c>
      <c r="D11" s="108" t="s">
        <v>124</v>
      </c>
      <c r="E11" s="66" t="s">
        <v>273</v>
      </c>
      <c r="F11" s="114">
        <v>4.5</v>
      </c>
      <c r="G11" s="67">
        <v>2.44</v>
      </c>
      <c r="H11" s="118">
        <f t="shared" si="3"/>
        <v>10.98</v>
      </c>
      <c r="I11" s="61"/>
      <c r="J11" s="121">
        <v>4.5</v>
      </c>
      <c r="K11" s="68">
        <f t="shared" si="0"/>
        <v>1</v>
      </c>
      <c r="L11" s="125">
        <f t="shared" si="4"/>
        <v>10.98</v>
      </c>
      <c r="N11" s="57">
        <v>14</v>
      </c>
      <c r="O11" s="63">
        <f t="shared" si="1"/>
        <v>9.5</v>
      </c>
      <c r="P11" s="64">
        <f t="shared" si="2"/>
        <v>34.159999999999997</v>
      </c>
    </row>
    <row r="12" spans="2:16" s="57" customFormat="1" ht="20.100000000000001" customHeight="1">
      <c r="B12" s="65">
        <v>7</v>
      </c>
      <c r="C12" s="104" t="s">
        <v>125</v>
      </c>
      <c r="D12" s="108" t="s">
        <v>126</v>
      </c>
      <c r="E12" s="66" t="s">
        <v>273</v>
      </c>
      <c r="F12" s="114">
        <v>1104.5</v>
      </c>
      <c r="G12" s="67">
        <v>1.1919999999999999</v>
      </c>
      <c r="H12" s="118">
        <f t="shared" si="3"/>
        <v>1316.5639999999999</v>
      </c>
      <c r="I12" s="61"/>
      <c r="J12" s="121">
        <v>0</v>
      </c>
      <c r="K12" s="68">
        <f t="shared" si="0"/>
        <v>0</v>
      </c>
      <c r="L12" s="125">
        <f t="shared" si="4"/>
        <v>0</v>
      </c>
      <c r="N12" s="57">
        <v>10</v>
      </c>
      <c r="O12" s="63">
        <f t="shared" si="1"/>
        <v>10</v>
      </c>
      <c r="P12" s="64">
        <f t="shared" si="2"/>
        <v>11.92</v>
      </c>
    </row>
    <row r="13" spans="2:16" s="57" customFormat="1" ht="20.100000000000001" customHeight="1">
      <c r="B13" s="65">
        <v>8</v>
      </c>
      <c r="C13" s="104" t="s">
        <v>127</v>
      </c>
      <c r="D13" s="108" t="s">
        <v>128</v>
      </c>
      <c r="E13" s="66" t="s">
        <v>273</v>
      </c>
      <c r="F13" s="114">
        <v>323.5</v>
      </c>
      <c r="G13" s="67">
        <v>1.7949999999999999</v>
      </c>
      <c r="H13" s="118">
        <f t="shared" si="3"/>
        <v>580.6825</v>
      </c>
      <c r="I13" s="61"/>
      <c r="J13" s="121">
        <v>0</v>
      </c>
      <c r="K13" s="68">
        <f t="shared" si="0"/>
        <v>0</v>
      </c>
      <c r="L13" s="125">
        <f t="shared" si="4"/>
        <v>0</v>
      </c>
      <c r="N13" s="57">
        <v>6</v>
      </c>
      <c r="O13" s="63">
        <f t="shared" si="1"/>
        <v>6</v>
      </c>
      <c r="P13" s="64">
        <f t="shared" si="2"/>
        <v>10.77</v>
      </c>
    </row>
    <row r="14" spans="2:16" s="57" customFormat="1" ht="20.100000000000001" customHeight="1">
      <c r="B14" s="65">
        <v>9</v>
      </c>
      <c r="C14" s="104" t="s">
        <v>39</v>
      </c>
      <c r="D14" s="108" t="s">
        <v>129</v>
      </c>
      <c r="E14" s="66" t="s">
        <v>273</v>
      </c>
      <c r="F14" s="114">
        <v>3.5</v>
      </c>
      <c r="G14" s="67">
        <v>2.6560000000000001</v>
      </c>
      <c r="H14" s="118">
        <f t="shared" si="3"/>
        <v>9.2960000000000012</v>
      </c>
      <c r="I14" s="61"/>
      <c r="J14" s="121">
        <v>3.5</v>
      </c>
      <c r="K14" s="68">
        <f t="shared" si="0"/>
        <v>1</v>
      </c>
      <c r="L14" s="125">
        <f t="shared" si="4"/>
        <v>9.2960000000000012</v>
      </c>
      <c r="N14" s="57">
        <v>12</v>
      </c>
      <c r="O14" s="63">
        <f t="shared" si="1"/>
        <v>8.5</v>
      </c>
      <c r="P14" s="64">
        <f t="shared" si="2"/>
        <v>31.872</v>
      </c>
    </row>
    <row r="15" spans="2:16" s="57" customFormat="1" ht="20.100000000000001" customHeight="1">
      <c r="B15" s="65">
        <v>10</v>
      </c>
      <c r="C15" s="104" t="s">
        <v>130</v>
      </c>
      <c r="D15" s="108" t="s">
        <v>131</v>
      </c>
      <c r="E15" s="66" t="s">
        <v>273</v>
      </c>
      <c r="F15" s="114">
        <v>1697.5</v>
      </c>
      <c r="G15" s="67">
        <v>1.508</v>
      </c>
      <c r="H15" s="118">
        <f t="shared" si="3"/>
        <v>2559.83</v>
      </c>
      <c r="I15" s="61"/>
      <c r="J15" s="121">
        <v>0</v>
      </c>
      <c r="K15" s="68">
        <f t="shared" si="0"/>
        <v>0</v>
      </c>
      <c r="L15" s="125">
        <f t="shared" si="4"/>
        <v>0</v>
      </c>
      <c r="N15" s="57">
        <v>10</v>
      </c>
      <c r="O15" s="63">
        <f t="shared" si="1"/>
        <v>10</v>
      </c>
      <c r="P15" s="64">
        <f t="shared" si="2"/>
        <v>15.08</v>
      </c>
    </row>
    <row r="16" spans="2:16" s="57" customFormat="1" ht="20.100000000000001" customHeight="1">
      <c r="B16" s="65">
        <v>11</v>
      </c>
      <c r="C16" s="104" t="s">
        <v>132</v>
      </c>
      <c r="D16" s="108" t="s">
        <v>133</v>
      </c>
      <c r="E16" s="66" t="s">
        <v>273</v>
      </c>
      <c r="F16" s="114">
        <v>131</v>
      </c>
      <c r="G16" s="67">
        <v>2.1040000000000001</v>
      </c>
      <c r="H16" s="118">
        <f t="shared" si="3"/>
        <v>275.62400000000002</v>
      </c>
      <c r="I16" s="61"/>
      <c r="J16" s="121">
        <v>0</v>
      </c>
      <c r="K16" s="68">
        <f t="shared" si="0"/>
        <v>0</v>
      </c>
      <c r="L16" s="125">
        <f t="shared" si="4"/>
        <v>0</v>
      </c>
      <c r="N16" s="57">
        <v>10</v>
      </c>
      <c r="O16" s="63">
        <f t="shared" si="1"/>
        <v>10</v>
      </c>
      <c r="P16" s="64">
        <f t="shared" si="2"/>
        <v>21.04</v>
      </c>
    </row>
    <row r="17" spans="2:16" s="57" customFormat="1" ht="20.100000000000001" customHeight="1">
      <c r="B17" s="65">
        <v>12</v>
      </c>
      <c r="C17" s="104" t="s">
        <v>134</v>
      </c>
      <c r="D17" s="109" t="s">
        <v>135</v>
      </c>
      <c r="E17" s="66" t="s">
        <v>273</v>
      </c>
      <c r="F17" s="114">
        <v>1.5</v>
      </c>
      <c r="G17" s="67">
        <v>2.9430000000000001</v>
      </c>
      <c r="H17" s="118">
        <f t="shared" si="3"/>
        <v>4.4145000000000003</v>
      </c>
      <c r="I17" s="61"/>
      <c r="J17" s="121">
        <v>0</v>
      </c>
      <c r="K17" s="68">
        <f t="shared" si="0"/>
        <v>0</v>
      </c>
      <c r="L17" s="125">
        <f t="shared" si="4"/>
        <v>0</v>
      </c>
      <c r="O17" s="63">
        <f t="shared" si="1"/>
        <v>0</v>
      </c>
      <c r="P17" s="64">
        <f t="shared" si="2"/>
        <v>0</v>
      </c>
    </row>
    <row r="18" spans="2:16" s="57" customFormat="1" ht="20.100000000000001" customHeight="1">
      <c r="B18" s="65">
        <v>13</v>
      </c>
      <c r="C18" s="104" t="s">
        <v>41</v>
      </c>
      <c r="D18" s="109" t="s">
        <v>136</v>
      </c>
      <c r="E18" s="66" t="s">
        <v>273</v>
      </c>
      <c r="F18" s="114">
        <v>2009</v>
      </c>
      <c r="G18" s="67">
        <v>1.579</v>
      </c>
      <c r="H18" s="118">
        <f t="shared" si="3"/>
        <v>3172.2109999999998</v>
      </c>
      <c r="I18" s="61"/>
      <c r="J18" s="121">
        <v>110</v>
      </c>
      <c r="K18" s="68">
        <f t="shared" si="0"/>
        <v>5.4753608760577402E-2</v>
      </c>
      <c r="L18" s="125">
        <f t="shared" si="4"/>
        <v>173.69</v>
      </c>
      <c r="N18" s="57">
        <v>3</v>
      </c>
      <c r="O18" s="63">
        <f t="shared" si="1"/>
        <v>-107</v>
      </c>
      <c r="P18" s="64">
        <f t="shared" si="2"/>
        <v>4.7370000000000001</v>
      </c>
    </row>
    <row r="19" spans="2:16" s="57" customFormat="1" ht="20.100000000000001" customHeight="1">
      <c r="B19" s="65">
        <v>14</v>
      </c>
      <c r="C19" s="104" t="s">
        <v>137</v>
      </c>
      <c r="D19" s="109" t="s">
        <v>138</v>
      </c>
      <c r="E19" s="66" t="s">
        <v>273</v>
      </c>
      <c r="F19" s="114">
        <v>956</v>
      </c>
      <c r="G19" s="67">
        <v>2.44</v>
      </c>
      <c r="H19" s="118">
        <f t="shared" si="3"/>
        <v>2332.64</v>
      </c>
      <c r="I19" s="61"/>
      <c r="J19" s="121">
        <v>0</v>
      </c>
      <c r="K19" s="68">
        <f t="shared" si="0"/>
        <v>0</v>
      </c>
      <c r="L19" s="125">
        <f t="shared" si="4"/>
        <v>0</v>
      </c>
      <c r="N19" s="57">
        <v>8</v>
      </c>
      <c r="O19" s="63">
        <f t="shared" si="1"/>
        <v>8</v>
      </c>
      <c r="P19" s="64">
        <f t="shared" si="2"/>
        <v>19.52</v>
      </c>
    </row>
    <row r="20" spans="2:16" s="57" customFormat="1" ht="20.100000000000001" customHeight="1">
      <c r="B20" s="65">
        <v>15</v>
      </c>
      <c r="C20" s="104" t="s">
        <v>54</v>
      </c>
      <c r="D20" s="109" t="s">
        <v>139</v>
      </c>
      <c r="E20" s="66" t="s">
        <v>273</v>
      </c>
      <c r="F20" s="114">
        <v>37.5</v>
      </c>
      <c r="G20" s="67">
        <v>3.302</v>
      </c>
      <c r="H20" s="118">
        <f t="shared" si="3"/>
        <v>123.825</v>
      </c>
      <c r="I20" s="61"/>
      <c r="J20" s="121">
        <v>37.5</v>
      </c>
      <c r="K20" s="68">
        <f t="shared" si="0"/>
        <v>1</v>
      </c>
      <c r="L20" s="125">
        <f t="shared" si="4"/>
        <v>123.825</v>
      </c>
      <c r="N20" s="57">
        <v>2</v>
      </c>
      <c r="O20" s="63">
        <f t="shared" si="1"/>
        <v>-35.5</v>
      </c>
      <c r="P20" s="64">
        <f t="shared" si="2"/>
        <v>6.6040000000000001</v>
      </c>
    </row>
    <row r="21" spans="2:16" s="57" customFormat="1" ht="20.100000000000001" customHeight="1">
      <c r="B21" s="65">
        <v>16</v>
      </c>
      <c r="C21" s="104" t="s">
        <v>140</v>
      </c>
      <c r="D21" s="109" t="s">
        <v>141</v>
      </c>
      <c r="E21" s="66" t="s">
        <v>273</v>
      </c>
      <c r="F21" s="114">
        <v>1.5</v>
      </c>
      <c r="G21" s="67">
        <v>4.2350000000000003</v>
      </c>
      <c r="H21" s="118">
        <f t="shared" si="3"/>
        <v>6.3525000000000009</v>
      </c>
      <c r="I21" s="61"/>
      <c r="J21" s="121">
        <v>0</v>
      </c>
      <c r="K21" s="68">
        <f t="shared" si="0"/>
        <v>0</v>
      </c>
      <c r="L21" s="125">
        <f t="shared" si="4"/>
        <v>0</v>
      </c>
      <c r="N21" s="57">
        <v>4</v>
      </c>
      <c r="O21" s="63">
        <f t="shared" si="1"/>
        <v>4</v>
      </c>
      <c r="P21" s="64">
        <f t="shared" si="2"/>
        <v>16.940000000000001</v>
      </c>
    </row>
    <row r="22" spans="2:16" s="57" customFormat="1" ht="20.100000000000001" customHeight="1">
      <c r="B22" s="65">
        <v>17</v>
      </c>
      <c r="C22" s="104" t="s">
        <v>111</v>
      </c>
      <c r="D22" s="108" t="s">
        <v>142</v>
      </c>
      <c r="E22" s="66" t="s">
        <v>273</v>
      </c>
      <c r="F22" s="114">
        <v>1170.5</v>
      </c>
      <c r="G22" s="67">
        <v>2.1539999999999999</v>
      </c>
      <c r="H22" s="118">
        <f t="shared" si="3"/>
        <v>2521.2570000000001</v>
      </c>
      <c r="I22" s="61"/>
      <c r="J22" s="121">
        <v>575</v>
      </c>
      <c r="K22" s="68">
        <f t="shared" si="0"/>
        <v>0.49124305852199912</v>
      </c>
      <c r="L22" s="125">
        <f t="shared" si="4"/>
        <v>1238.55</v>
      </c>
      <c r="N22" s="57">
        <v>53</v>
      </c>
      <c r="O22" s="63">
        <f t="shared" si="1"/>
        <v>-522</v>
      </c>
      <c r="P22" s="64">
        <f t="shared" si="2"/>
        <v>114.16199999999999</v>
      </c>
    </row>
    <row r="23" spans="2:16" s="57" customFormat="1" ht="20.100000000000001" customHeight="1">
      <c r="B23" s="65">
        <v>18</v>
      </c>
      <c r="C23" s="104" t="s">
        <v>82</v>
      </c>
      <c r="D23" s="108" t="s">
        <v>143</v>
      </c>
      <c r="E23" s="66" t="s">
        <v>273</v>
      </c>
      <c r="F23" s="114">
        <v>620.5</v>
      </c>
      <c r="G23" s="67">
        <v>3.0859999999999999</v>
      </c>
      <c r="H23" s="118">
        <f t="shared" si="3"/>
        <v>1914.8629999999998</v>
      </c>
      <c r="I23" s="61"/>
      <c r="J23" s="121">
        <v>620.5</v>
      </c>
      <c r="K23" s="68">
        <f t="shared" si="0"/>
        <v>1</v>
      </c>
      <c r="L23" s="125">
        <f t="shared" si="4"/>
        <v>1914.8629999999998</v>
      </c>
      <c r="N23" s="57">
        <v>6</v>
      </c>
      <c r="O23" s="63">
        <f t="shared" si="1"/>
        <v>-614.5</v>
      </c>
      <c r="P23" s="64">
        <f t="shared" si="2"/>
        <v>18.515999999999998</v>
      </c>
    </row>
    <row r="24" spans="2:16" s="57" customFormat="1" ht="19.5" customHeight="1">
      <c r="B24" s="139">
        <v>19</v>
      </c>
      <c r="C24" s="140" t="s">
        <v>144</v>
      </c>
      <c r="D24" s="141" t="s">
        <v>145</v>
      </c>
      <c r="E24" s="142" t="s">
        <v>273</v>
      </c>
      <c r="F24" s="143">
        <v>139</v>
      </c>
      <c r="G24" s="144">
        <v>4.0739999999999998</v>
      </c>
      <c r="H24" s="145">
        <f t="shared" si="3"/>
        <v>566.28599999999994</v>
      </c>
      <c r="I24" s="61"/>
      <c r="J24" s="121">
        <v>0</v>
      </c>
      <c r="K24" s="68">
        <f t="shared" si="0"/>
        <v>0</v>
      </c>
      <c r="L24" s="125">
        <f t="shared" si="4"/>
        <v>0</v>
      </c>
      <c r="N24" s="57">
        <v>4</v>
      </c>
      <c r="O24" s="63">
        <f t="shared" si="1"/>
        <v>4</v>
      </c>
      <c r="P24" s="64">
        <f t="shared" si="2"/>
        <v>16.295999999999999</v>
      </c>
    </row>
    <row r="25" spans="2:16" s="57" customFormat="1" ht="20.100000000000001" customHeight="1">
      <c r="B25" s="65">
        <v>20</v>
      </c>
      <c r="C25" s="104" t="s">
        <v>146</v>
      </c>
      <c r="D25" s="108" t="s">
        <v>147</v>
      </c>
      <c r="E25" s="66" t="s">
        <v>273</v>
      </c>
      <c r="F25" s="114">
        <v>76</v>
      </c>
      <c r="G25" s="67">
        <v>2.496</v>
      </c>
      <c r="H25" s="118">
        <f t="shared" si="3"/>
        <v>189.696</v>
      </c>
      <c r="I25" s="61"/>
      <c r="J25" s="121">
        <v>0</v>
      </c>
      <c r="K25" s="68">
        <f t="shared" si="0"/>
        <v>0</v>
      </c>
      <c r="L25" s="125">
        <f t="shared" si="4"/>
        <v>0</v>
      </c>
      <c r="N25" s="57">
        <v>465</v>
      </c>
      <c r="O25" s="63">
        <f t="shared" si="1"/>
        <v>465</v>
      </c>
      <c r="P25" s="64">
        <f t="shared" si="2"/>
        <v>1160.6400000000001</v>
      </c>
    </row>
    <row r="26" spans="2:16" s="57" customFormat="1" ht="20.100000000000001" customHeight="1">
      <c r="B26" s="65">
        <v>21</v>
      </c>
      <c r="C26" s="104" t="s">
        <v>148</v>
      </c>
      <c r="D26" s="108" t="s">
        <v>149</v>
      </c>
      <c r="E26" s="66" t="s">
        <v>273</v>
      </c>
      <c r="F26" s="114">
        <v>1020</v>
      </c>
      <c r="G26" s="67">
        <v>3.589</v>
      </c>
      <c r="H26" s="118">
        <f t="shared" si="3"/>
        <v>3660.7799999999997</v>
      </c>
      <c r="I26" s="61"/>
      <c r="J26" s="121">
        <v>0</v>
      </c>
      <c r="K26" s="68">
        <f t="shared" si="0"/>
        <v>0</v>
      </c>
      <c r="L26" s="125">
        <f t="shared" si="4"/>
        <v>0</v>
      </c>
      <c r="N26" s="57">
        <v>97</v>
      </c>
      <c r="O26" s="63">
        <f t="shared" si="1"/>
        <v>97</v>
      </c>
      <c r="P26" s="64">
        <f t="shared" si="2"/>
        <v>348.13299999999998</v>
      </c>
    </row>
    <row r="27" spans="2:16" s="57" customFormat="1" ht="20.100000000000001" customHeight="1">
      <c r="B27" s="65">
        <v>22</v>
      </c>
      <c r="C27" s="104" t="s">
        <v>150</v>
      </c>
      <c r="D27" s="108" t="s">
        <v>151</v>
      </c>
      <c r="E27" s="66" t="s">
        <v>273</v>
      </c>
      <c r="F27" s="114">
        <v>133.5</v>
      </c>
      <c r="G27" s="67">
        <v>4.7370000000000001</v>
      </c>
      <c r="H27" s="118">
        <f t="shared" si="3"/>
        <v>632.3895</v>
      </c>
      <c r="I27" s="61"/>
      <c r="J27" s="121">
        <v>0</v>
      </c>
      <c r="K27" s="68">
        <f t="shared" si="0"/>
        <v>0</v>
      </c>
      <c r="L27" s="125">
        <f t="shared" si="4"/>
        <v>0</v>
      </c>
      <c r="N27" s="57">
        <v>12</v>
      </c>
      <c r="O27" s="63">
        <f t="shared" si="1"/>
        <v>12</v>
      </c>
      <c r="P27" s="64">
        <f t="shared" si="2"/>
        <v>56.844000000000001</v>
      </c>
    </row>
    <row r="28" spans="2:16" s="57" customFormat="1" ht="20.100000000000001" customHeight="1">
      <c r="B28" s="65">
        <v>23</v>
      </c>
      <c r="C28" s="104" t="s">
        <v>152</v>
      </c>
      <c r="D28" s="108" t="s">
        <v>153</v>
      </c>
      <c r="E28" s="66" t="s">
        <v>273</v>
      </c>
      <c r="F28" s="114">
        <v>68.5</v>
      </c>
      <c r="G28" s="67">
        <v>5.9560000000000004</v>
      </c>
      <c r="H28" s="118">
        <f t="shared" si="3"/>
        <v>407.98600000000005</v>
      </c>
      <c r="I28" s="61"/>
      <c r="J28" s="121">
        <v>0</v>
      </c>
      <c r="K28" s="68">
        <f t="shared" si="0"/>
        <v>0</v>
      </c>
      <c r="L28" s="125">
        <f t="shared" si="4"/>
        <v>0</v>
      </c>
      <c r="N28" s="57">
        <v>3</v>
      </c>
      <c r="O28" s="63">
        <f t="shared" si="1"/>
        <v>3</v>
      </c>
      <c r="P28" s="64">
        <f t="shared" si="2"/>
        <v>17.868000000000002</v>
      </c>
    </row>
    <row r="29" spans="2:16" s="57" customFormat="1" ht="24">
      <c r="B29" s="65">
        <v>24</v>
      </c>
      <c r="C29" s="105" t="s">
        <v>43</v>
      </c>
      <c r="D29" s="110" t="s">
        <v>154</v>
      </c>
      <c r="E29" s="66" t="s">
        <v>273</v>
      </c>
      <c r="F29" s="115">
        <v>132</v>
      </c>
      <c r="G29" s="102">
        <v>3.484</v>
      </c>
      <c r="H29" s="118">
        <f t="shared" si="3"/>
        <v>459.88799999999998</v>
      </c>
      <c r="I29" s="61"/>
      <c r="J29" s="122">
        <v>132</v>
      </c>
      <c r="K29" s="68">
        <f t="shared" si="0"/>
        <v>1</v>
      </c>
      <c r="L29" s="125">
        <f t="shared" si="4"/>
        <v>459.88799999999998</v>
      </c>
    </row>
    <row r="30" spans="2:16" s="57" customFormat="1" ht="20.100000000000001" customHeight="1">
      <c r="B30" s="65">
        <v>25</v>
      </c>
      <c r="C30" s="104" t="s">
        <v>155</v>
      </c>
      <c r="D30" s="108" t="s">
        <v>156</v>
      </c>
      <c r="E30" s="66" t="s">
        <v>273</v>
      </c>
      <c r="F30" s="114">
        <v>1479.5</v>
      </c>
      <c r="G30" s="67">
        <v>4.88</v>
      </c>
      <c r="H30" s="118">
        <f t="shared" si="3"/>
        <v>7219.96</v>
      </c>
      <c r="I30" s="61"/>
      <c r="J30" s="121">
        <v>0</v>
      </c>
      <c r="K30" s="68">
        <f t="shared" si="0"/>
        <v>0</v>
      </c>
      <c r="L30" s="125">
        <f t="shared" si="4"/>
        <v>0</v>
      </c>
    </row>
    <row r="31" spans="2:16" s="57" customFormat="1" ht="20.100000000000001" customHeight="1">
      <c r="B31" s="65">
        <v>26</v>
      </c>
      <c r="C31" s="104" t="s">
        <v>56</v>
      </c>
      <c r="D31" s="108" t="s">
        <v>157</v>
      </c>
      <c r="E31" s="66" t="s">
        <v>273</v>
      </c>
      <c r="F31" s="114">
        <v>48.5</v>
      </c>
      <c r="G31" s="67">
        <v>6.3150000000000004</v>
      </c>
      <c r="H31" s="118">
        <f t="shared" si="3"/>
        <v>306.27750000000003</v>
      </c>
      <c r="I31" s="61"/>
      <c r="J31" s="121">
        <v>48.5</v>
      </c>
      <c r="K31" s="68">
        <f t="shared" si="0"/>
        <v>1</v>
      </c>
      <c r="L31" s="125">
        <f t="shared" si="4"/>
        <v>306.27750000000003</v>
      </c>
    </row>
    <row r="32" spans="2:16" s="57" customFormat="1" ht="24">
      <c r="B32" s="65">
        <v>27</v>
      </c>
      <c r="C32" s="104" t="s">
        <v>29</v>
      </c>
      <c r="D32" s="108" t="s">
        <v>158</v>
      </c>
      <c r="E32" s="66" t="s">
        <v>273</v>
      </c>
      <c r="F32" s="114">
        <v>371</v>
      </c>
      <c r="G32" s="67">
        <v>7.8220000000000001</v>
      </c>
      <c r="H32" s="118">
        <f t="shared" si="3"/>
        <v>2901.962</v>
      </c>
      <c r="I32" s="61"/>
      <c r="J32" s="121">
        <v>371</v>
      </c>
      <c r="K32" s="68">
        <f t="shared" si="0"/>
        <v>1</v>
      </c>
      <c r="L32" s="125">
        <f t="shared" si="4"/>
        <v>2901.962</v>
      </c>
    </row>
    <row r="33" spans="2:12" s="57" customFormat="1" ht="24">
      <c r="B33" s="65">
        <v>28</v>
      </c>
      <c r="C33" s="104" t="s">
        <v>77</v>
      </c>
      <c r="D33" s="108" t="s">
        <v>159</v>
      </c>
      <c r="E33" s="66" t="s">
        <v>273</v>
      </c>
      <c r="F33" s="114">
        <v>440</v>
      </c>
      <c r="G33" s="67">
        <v>9.8320000000000007</v>
      </c>
      <c r="H33" s="118">
        <f t="shared" si="3"/>
        <v>4326.08</v>
      </c>
      <c r="I33" s="61"/>
      <c r="J33" s="121">
        <v>430</v>
      </c>
      <c r="K33" s="68">
        <f t="shared" si="0"/>
        <v>0.97727272727272729</v>
      </c>
      <c r="L33" s="125">
        <f t="shared" si="4"/>
        <v>4227.76</v>
      </c>
    </row>
    <row r="34" spans="2:12" s="57" customFormat="1" ht="20.100000000000001" customHeight="1">
      <c r="B34" s="65">
        <v>29</v>
      </c>
      <c r="C34" s="104" t="s">
        <v>160</v>
      </c>
      <c r="D34" s="108" t="s">
        <v>161</v>
      </c>
      <c r="E34" s="66" t="s">
        <v>273</v>
      </c>
      <c r="F34" s="114">
        <v>128</v>
      </c>
      <c r="G34" s="67">
        <v>6.3150000000000004</v>
      </c>
      <c r="H34" s="118">
        <f t="shared" si="3"/>
        <v>808.32</v>
      </c>
      <c r="I34" s="61"/>
      <c r="J34" s="121">
        <v>0</v>
      </c>
      <c r="K34" s="68">
        <f t="shared" si="0"/>
        <v>0</v>
      </c>
      <c r="L34" s="125">
        <f t="shared" si="4"/>
        <v>0</v>
      </c>
    </row>
    <row r="35" spans="2:12" s="57" customFormat="1" ht="43.5">
      <c r="B35" s="139">
        <v>30</v>
      </c>
      <c r="C35" s="140" t="s">
        <v>186</v>
      </c>
      <c r="D35" s="141" t="s">
        <v>187</v>
      </c>
      <c r="E35" s="142" t="s">
        <v>274</v>
      </c>
      <c r="F35" s="143">
        <v>132</v>
      </c>
      <c r="G35" s="144">
        <v>15.891999999999999</v>
      </c>
      <c r="H35" s="145">
        <f t="shared" si="3"/>
        <v>2097.7440000000001</v>
      </c>
      <c r="I35" s="61"/>
      <c r="J35" s="121">
        <v>0</v>
      </c>
      <c r="K35" s="68">
        <f t="shared" si="0"/>
        <v>0</v>
      </c>
      <c r="L35" s="125">
        <f t="shared" si="4"/>
        <v>0</v>
      </c>
    </row>
    <row r="36" spans="2:12" s="57" customFormat="1" ht="20.100000000000001" customHeight="1">
      <c r="B36" s="65">
        <v>31</v>
      </c>
      <c r="C36" s="104" t="s">
        <v>162</v>
      </c>
      <c r="D36" s="108" t="s">
        <v>163</v>
      </c>
      <c r="E36" s="66" t="s">
        <v>273</v>
      </c>
      <c r="F36" s="114">
        <v>10</v>
      </c>
      <c r="G36" s="67">
        <v>4.3390000000000004</v>
      </c>
      <c r="H36" s="118">
        <f t="shared" si="3"/>
        <v>43.39</v>
      </c>
      <c r="I36" s="61"/>
      <c r="J36" s="121">
        <v>0</v>
      </c>
      <c r="K36" s="68">
        <f t="shared" si="0"/>
        <v>0</v>
      </c>
      <c r="L36" s="125">
        <f t="shared" si="4"/>
        <v>0</v>
      </c>
    </row>
    <row r="37" spans="2:12" s="57" customFormat="1" ht="24">
      <c r="B37" s="65">
        <v>32</v>
      </c>
      <c r="C37" s="104" t="s">
        <v>58</v>
      </c>
      <c r="D37" s="108" t="s">
        <v>164</v>
      </c>
      <c r="E37" s="66" t="s">
        <v>273</v>
      </c>
      <c r="F37" s="114">
        <v>178.5</v>
      </c>
      <c r="G37" s="67">
        <v>7.7510000000000003</v>
      </c>
      <c r="H37" s="118">
        <f t="shared" si="3"/>
        <v>1383.5535</v>
      </c>
      <c r="I37" s="61"/>
      <c r="J37" s="121">
        <v>84</v>
      </c>
      <c r="K37" s="68">
        <f t="shared" si="0"/>
        <v>0.47058823529411764</v>
      </c>
      <c r="L37" s="125">
        <f t="shared" si="4"/>
        <v>651.08400000000006</v>
      </c>
    </row>
    <row r="38" spans="2:12" s="57" customFormat="1" ht="20.100000000000001" customHeight="1">
      <c r="B38" s="65">
        <v>33</v>
      </c>
      <c r="C38" s="104" t="s">
        <v>165</v>
      </c>
      <c r="D38" s="108" t="s">
        <v>166</v>
      </c>
      <c r="E38" s="66" t="s">
        <v>273</v>
      </c>
      <c r="F38" s="114">
        <v>348</v>
      </c>
      <c r="G38" s="67">
        <v>9.4719999999999995</v>
      </c>
      <c r="H38" s="118">
        <f t="shared" si="3"/>
        <v>3296.2559999999999</v>
      </c>
      <c r="I38" s="61"/>
      <c r="J38" s="121">
        <v>0</v>
      </c>
      <c r="K38" s="68">
        <f t="shared" si="0"/>
        <v>0</v>
      </c>
      <c r="L38" s="125">
        <f t="shared" si="4"/>
        <v>0</v>
      </c>
    </row>
    <row r="39" spans="2:12" s="57" customFormat="1" ht="20.100000000000001" customHeight="1">
      <c r="B39" s="65">
        <v>34</v>
      </c>
      <c r="C39" s="104" t="s">
        <v>167</v>
      </c>
      <c r="D39" s="108" t="s">
        <v>168</v>
      </c>
      <c r="E39" s="66" t="s">
        <v>273</v>
      </c>
      <c r="F39" s="114">
        <v>238</v>
      </c>
      <c r="G39" s="67">
        <v>11.553000000000001</v>
      </c>
      <c r="H39" s="118">
        <f t="shared" si="3"/>
        <v>2749.614</v>
      </c>
      <c r="I39" s="61"/>
      <c r="J39" s="121">
        <v>0</v>
      </c>
      <c r="K39" s="68">
        <f t="shared" si="0"/>
        <v>0</v>
      </c>
      <c r="L39" s="125">
        <f t="shared" si="4"/>
        <v>0</v>
      </c>
    </row>
    <row r="40" spans="2:12" s="57" customFormat="1" ht="20.100000000000001" customHeight="1">
      <c r="B40" s="65">
        <v>35</v>
      </c>
      <c r="C40" s="104" t="s">
        <v>169</v>
      </c>
      <c r="D40" s="108" t="s">
        <v>170</v>
      </c>
      <c r="E40" s="66" t="s">
        <v>273</v>
      </c>
      <c r="F40" s="114">
        <v>187</v>
      </c>
      <c r="G40" s="67">
        <v>7.7510000000000003</v>
      </c>
      <c r="H40" s="118">
        <f t="shared" si="3"/>
        <v>1449.4370000000001</v>
      </c>
      <c r="I40" s="61"/>
      <c r="J40" s="121">
        <v>0</v>
      </c>
      <c r="K40" s="68">
        <f t="shared" si="0"/>
        <v>0</v>
      </c>
      <c r="L40" s="125">
        <f t="shared" si="4"/>
        <v>0</v>
      </c>
    </row>
    <row r="41" spans="2:12" s="57" customFormat="1" ht="20.100000000000001" customHeight="1">
      <c r="B41" s="139">
        <v>36</v>
      </c>
      <c r="C41" s="140" t="s">
        <v>186</v>
      </c>
      <c r="D41" s="141" t="s">
        <v>187</v>
      </c>
      <c r="E41" s="142" t="s">
        <v>274</v>
      </c>
      <c r="F41" s="143">
        <v>223</v>
      </c>
      <c r="G41" s="144">
        <v>15.891999999999999</v>
      </c>
      <c r="H41" s="145">
        <f t="shared" si="3"/>
        <v>3543.9159999999997</v>
      </c>
      <c r="I41" s="61"/>
      <c r="J41" s="121">
        <v>0</v>
      </c>
      <c r="K41" s="68">
        <f t="shared" si="0"/>
        <v>0</v>
      </c>
      <c r="L41" s="125">
        <f t="shared" si="4"/>
        <v>0</v>
      </c>
    </row>
    <row r="42" spans="2:12" s="57" customFormat="1" ht="20.100000000000001" customHeight="1">
      <c r="B42" s="65">
        <v>37</v>
      </c>
      <c r="C42" s="104" t="s">
        <v>171</v>
      </c>
      <c r="D42" s="108" t="s">
        <v>172</v>
      </c>
      <c r="E42" s="66" t="s">
        <v>273</v>
      </c>
      <c r="F42" s="114">
        <v>40</v>
      </c>
      <c r="G42" s="67">
        <v>5.1340000000000003</v>
      </c>
      <c r="H42" s="118">
        <f t="shared" si="3"/>
        <v>205.36</v>
      </c>
      <c r="I42" s="61"/>
      <c r="J42" s="121">
        <v>0</v>
      </c>
      <c r="K42" s="68">
        <f t="shared" si="0"/>
        <v>0</v>
      </c>
      <c r="L42" s="125">
        <f t="shared" si="4"/>
        <v>0</v>
      </c>
    </row>
    <row r="43" spans="2:12" s="57" customFormat="1" ht="20.100000000000001" customHeight="1">
      <c r="B43" s="65">
        <v>38</v>
      </c>
      <c r="C43" s="104" t="s">
        <v>173</v>
      </c>
      <c r="D43" s="108" t="s">
        <v>174</v>
      </c>
      <c r="E43" s="66" t="s">
        <v>273</v>
      </c>
      <c r="F43" s="114">
        <v>102.5</v>
      </c>
      <c r="G43" s="67">
        <v>9.3290000000000006</v>
      </c>
      <c r="H43" s="118">
        <f t="shared" si="3"/>
        <v>956.22250000000008</v>
      </c>
      <c r="I43" s="61"/>
      <c r="J43" s="121">
        <v>0</v>
      </c>
      <c r="K43" s="68">
        <f t="shared" si="0"/>
        <v>0</v>
      </c>
      <c r="L43" s="125">
        <f t="shared" si="4"/>
        <v>0</v>
      </c>
    </row>
    <row r="44" spans="2:12" s="57" customFormat="1" ht="20.100000000000001" customHeight="1">
      <c r="B44" s="139">
        <v>39</v>
      </c>
      <c r="C44" s="140" t="s">
        <v>175</v>
      </c>
      <c r="D44" s="141" t="s">
        <v>176</v>
      </c>
      <c r="E44" s="142" t="s">
        <v>273</v>
      </c>
      <c r="F44" s="143">
        <v>573.5</v>
      </c>
      <c r="G44" s="144">
        <v>11.266999999999999</v>
      </c>
      <c r="H44" s="145">
        <f t="shared" si="3"/>
        <v>6461.6244999999999</v>
      </c>
      <c r="I44" s="61"/>
      <c r="J44" s="121">
        <v>0</v>
      </c>
      <c r="K44" s="68">
        <f t="shared" si="0"/>
        <v>0</v>
      </c>
      <c r="L44" s="125">
        <f t="shared" si="4"/>
        <v>0</v>
      </c>
    </row>
    <row r="45" spans="2:12" s="57" customFormat="1" ht="20.100000000000001" customHeight="1">
      <c r="B45" s="65">
        <v>40</v>
      </c>
      <c r="C45" s="104" t="s">
        <v>71</v>
      </c>
      <c r="D45" s="108" t="s">
        <v>177</v>
      </c>
      <c r="E45" s="66" t="s">
        <v>273</v>
      </c>
      <c r="F45" s="114">
        <v>216</v>
      </c>
      <c r="G45" s="67">
        <v>13.634</v>
      </c>
      <c r="H45" s="118">
        <f t="shared" si="3"/>
        <v>2944.944</v>
      </c>
      <c r="I45" s="61"/>
      <c r="J45" s="121">
        <v>216</v>
      </c>
      <c r="K45" s="68">
        <f t="shared" si="0"/>
        <v>1</v>
      </c>
      <c r="L45" s="125">
        <f t="shared" si="4"/>
        <v>2944.944</v>
      </c>
    </row>
    <row r="46" spans="2:12" s="57" customFormat="1" ht="20.100000000000001" customHeight="1">
      <c r="B46" s="65">
        <v>41</v>
      </c>
      <c r="C46" s="106" t="s">
        <v>178</v>
      </c>
      <c r="D46" s="111" t="s">
        <v>179</v>
      </c>
      <c r="E46" s="66" t="s">
        <v>273</v>
      </c>
      <c r="F46" s="116">
        <v>241</v>
      </c>
      <c r="G46" s="101">
        <v>9.3290000000000006</v>
      </c>
      <c r="H46" s="118">
        <f t="shared" si="3"/>
        <v>2248.2890000000002</v>
      </c>
      <c r="I46" s="61"/>
      <c r="J46" s="123">
        <v>0</v>
      </c>
      <c r="K46" s="68">
        <f t="shared" si="0"/>
        <v>0</v>
      </c>
      <c r="L46" s="125">
        <f t="shared" si="4"/>
        <v>0</v>
      </c>
    </row>
    <row r="47" spans="2:12" s="57" customFormat="1" ht="20.100000000000001" customHeight="1">
      <c r="B47" s="139">
        <v>42</v>
      </c>
      <c r="C47" s="146" t="s">
        <v>186</v>
      </c>
      <c r="D47" s="147" t="s">
        <v>187</v>
      </c>
      <c r="E47" s="142" t="s">
        <v>274</v>
      </c>
      <c r="F47" s="148">
        <v>328</v>
      </c>
      <c r="G47" s="149">
        <v>15.891999999999999</v>
      </c>
      <c r="H47" s="145">
        <f t="shared" si="3"/>
        <v>5212.576</v>
      </c>
      <c r="I47" s="61"/>
      <c r="J47" s="123">
        <v>0</v>
      </c>
      <c r="K47" s="68">
        <f t="shared" si="0"/>
        <v>0</v>
      </c>
      <c r="L47" s="125">
        <f t="shared" si="4"/>
        <v>0</v>
      </c>
    </row>
    <row r="48" spans="2:12" s="57" customFormat="1" ht="20.100000000000001" customHeight="1">
      <c r="B48" s="65">
        <v>43</v>
      </c>
      <c r="C48" s="106" t="s">
        <v>180</v>
      </c>
      <c r="D48" s="111" t="s">
        <v>181</v>
      </c>
      <c r="E48" s="66" t="s">
        <v>273</v>
      </c>
      <c r="F48" s="116">
        <v>177.5</v>
      </c>
      <c r="G48" s="101">
        <v>9.3290000000000006</v>
      </c>
      <c r="H48" s="118">
        <f t="shared" si="3"/>
        <v>1655.8975</v>
      </c>
      <c r="I48" s="61"/>
      <c r="J48" s="123">
        <v>0</v>
      </c>
      <c r="K48" s="68">
        <f t="shared" si="0"/>
        <v>0</v>
      </c>
      <c r="L48" s="125">
        <f t="shared" si="4"/>
        <v>0</v>
      </c>
    </row>
    <row r="49" spans="2:12" s="57" customFormat="1" ht="20.100000000000001" customHeight="1">
      <c r="B49" s="65">
        <v>44</v>
      </c>
      <c r="C49" s="106"/>
      <c r="D49" s="111" t="s">
        <v>231</v>
      </c>
      <c r="E49" s="66" t="s">
        <v>274</v>
      </c>
      <c r="F49" s="116">
        <v>253</v>
      </c>
      <c r="G49" s="101">
        <v>16.7</v>
      </c>
      <c r="H49" s="118">
        <f t="shared" si="3"/>
        <v>4225.0999999999995</v>
      </c>
      <c r="I49" s="61"/>
      <c r="J49" s="123">
        <v>0</v>
      </c>
      <c r="K49" s="68">
        <f t="shared" si="0"/>
        <v>0</v>
      </c>
      <c r="L49" s="125">
        <f t="shared" si="4"/>
        <v>0</v>
      </c>
    </row>
    <row r="50" spans="2:12" s="57" customFormat="1" ht="20.100000000000001" customHeight="1">
      <c r="B50" s="65">
        <v>45</v>
      </c>
      <c r="C50" s="106" t="s">
        <v>182</v>
      </c>
      <c r="D50" s="111" t="s">
        <v>183</v>
      </c>
      <c r="E50" s="66" t="s">
        <v>273</v>
      </c>
      <c r="F50" s="116">
        <v>1.1000000000000001</v>
      </c>
      <c r="G50" s="101">
        <v>10.888</v>
      </c>
      <c r="H50" s="118">
        <f t="shared" si="3"/>
        <v>11.976800000000001</v>
      </c>
      <c r="I50" s="61"/>
      <c r="J50" s="123">
        <v>0</v>
      </c>
      <c r="K50" s="68">
        <f t="shared" si="0"/>
        <v>0</v>
      </c>
      <c r="L50" s="125">
        <f t="shared" si="4"/>
        <v>0</v>
      </c>
    </row>
    <row r="51" spans="2:12" s="57" customFormat="1" ht="20.100000000000001" customHeight="1">
      <c r="B51" s="65">
        <v>46</v>
      </c>
      <c r="C51" s="106" t="s">
        <v>184</v>
      </c>
      <c r="D51" s="111" t="s">
        <v>185</v>
      </c>
      <c r="E51" s="66" t="s">
        <v>273</v>
      </c>
      <c r="F51" s="116">
        <v>5.5</v>
      </c>
      <c r="G51" s="101">
        <v>7.8010000000000002</v>
      </c>
      <c r="H51" s="118">
        <f t="shared" si="3"/>
        <v>42.905500000000004</v>
      </c>
      <c r="I51" s="61"/>
      <c r="J51" s="123">
        <v>0</v>
      </c>
      <c r="K51" s="68">
        <f t="shared" si="0"/>
        <v>0</v>
      </c>
      <c r="L51" s="125">
        <f t="shared" si="4"/>
        <v>0</v>
      </c>
    </row>
    <row r="52" spans="2:12" s="57" customFormat="1" ht="20.100000000000001" customHeight="1">
      <c r="B52" s="139">
        <v>47</v>
      </c>
      <c r="C52" s="146" t="s">
        <v>186</v>
      </c>
      <c r="D52" s="147" t="s">
        <v>187</v>
      </c>
      <c r="E52" s="142" t="s">
        <v>274</v>
      </c>
      <c r="F52" s="148">
        <v>87.78</v>
      </c>
      <c r="G52" s="149">
        <v>15.891999999999999</v>
      </c>
      <c r="H52" s="145">
        <f t="shared" si="3"/>
        <v>1394.9997599999999</v>
      </c>
      <c r="I52" s="61"/>
      <c r="J52" s="123">
        <v>0</v>
      </c>
      <c r="K52" s="68">
        <f t="shared" si="0"/>
        <v>0</v>
      </c>
      <c r="L52" s="125">
        <f t="shared" si="4"/>
        <v>0</v>
      </c>
    </row>
    <row r="53" spans="2:12" s="57" customFormat="1" ht="20.100000000000001" customHeight="1">
      <c r="B53" s="139">
        <v>48</v>
      </c>
      <c r="C53" s="146" t="s">
        <v>188</v>
      </c>
      <c r="D53" s="147" t="s">
        <v>189</v>
      </c>
      <c r="E53" s="142" t="s">
        <v>274</v>
      </c>
      <c r="F53" s="148">
        <v>1007.6</v>
      </c>
      <c r="G53" s="149">
        <v>17.507999999999999</v>
      </c>
      <c r="H53" s="145">
        <f t="shared" si="3"/>
        <v>17641.060799999999</v>
      </c>
      <c r="I53" s="61"/>
      <c r="J53" s="123">
        <v>0</v>
      </c>
      <c r="K53" s="68">
        <f t="shared" si="0"/>
        <v>0</v>
      </c>
      <c r="L53" s="125">
        <f t="shared" si="4"/>
        <v>0</v>
      </c>
    </row>
    <row r="54" spans="2:12" s="57" customFormat="1" ht="20.100000000000001" customHeight="1">
      <c r="B54" s="65">
        <v>49</v>
      </c>
      <c r="C54" s="106" t="s">
        <v>190</v>
      </c>
      <c r="D54" s="111" t="s">
        <v>191</v>
      </c>
      <c r="E54" s="66" t="s">
        <v>274</v>
      </c>
      <c r="F54" s="116">
        <v>1310.0999999999999</v>
      </c>
      <c r="G54" s="101">
        <v>18.315999999999999</v>
      </c>
      <c r="H54" s="118">
        <f t="shared" si="3"/>
        <v>23995.791599999997</v>
      </c>
      <c r="I54" s="61"/>
      <c r="J54" s="123">
        <v>0</v>
      </c>
      <c r="K54" s="68">
        <f t="shared" si="0"/>
        <v>0</v>
      </c>
      <c r="L54" s="125">
        <f t="shared" si="4"/>
        <v>0</v>
      </c>
    </row>
    <row r="55" spans="2:12" s="57" customFormat="1" ht="20.100000000000001" customHeight="1">
      <c r="B55" s="139">
        <v>50</v>
      </c>
      <c r="C55" s="146" t="s">
        <v>192</v>
      </c>
      <c r="D55" s="147" t="s">
        <v>193</v>
      </c>
      <c r="E55" s="142" t="s">
        <v>274</v>
      </c>
      <c r="F55" s="148">
        <v>1243</v>
      </c>
      <c r="G55" s="149">
        <v>19.123999999999999</v>
      </c>
      <c r="H55" s="145">
        <f t="shared" si="3"/>
        <v>23771.131999999998</v>
      </c>
      <c r="I55" s="61"/>
      <c r="J55" s="123">
        <v>0</v>
      </c>
      <c r="K55" s="68">
        <f t="shared" si="0"/>
        <v>0</v>
      </c>
      <c r="L55" s="125">
        <f t="shared" si="4"/>
        <v>0</v>
      </c>
    </row>
    <row r="56" spans="2:12" s="57" customFormat="1" ht="20.100000000000001" customHeight="1">
      <c r="B56" s="65">
        <v>51</v>
      </c>
      <c r="C56" s="106" t="s">
        <v>194</v>
      </c>
      <c r="D56" s="111" t="s">
        <v>195</v>
      </c>
      <c r="E56" s="66" t="s">
        <v>274</v>
      </c>
      <c r="F56" s="116">
        <v>403.7</v>
      </c>
      <c r="G56" s="101">
        <v>19.931999999999999</v>
      </c>
      <c r="H56" s="118">
        <f t="shared" si="3"/>
        <v>8046.5483999999988</v>
      </c>
      <c r="I56" s="61"/>
      <c r="J56" s="123">
        <v>0</v>
      </c>
      <c r="K56" s="68">
        <f t="shared" si="0"/>
        <v>0</v>
      </c>
      <c r="L56" s="125">
        <f t="shared" si="4"/>
        <v>0</v>
      </c>
    </row>
    <row r="57" spans="2:12" s="57" customFormat="1" ht="20.100000000000001" customHeight="1">
      <c r="B57" s="65">
        <v>52</v>
      </c>
      <c r="C57" s="106" t="s">
        <v>196</v>
      </c>
      <c r="D57" s="111" t="s">
        <v>197</v>
      </c>
      <c r="E57" s="66" t="s">
        <v>274</v>
      </c>
      <c r="F57" s="116">
        <v>822.8</v>
      </c>
      <c r="G57" s="101">
        <v>20.74</v>
      </c>
      <c r="H57" s="118">
        <f t="shared" si="3"/>
        <v>17064.871999999999</v>
      </c>
      <c r="I57" s="61"/>
      <c r="J57" s="123">
        <v>0</v>
      </c>
      <c r="K57" s="68">
        <f t="shared" si="0"/>
        <v>0</v>
      </c>
      <c r="L57" s="125">
        <f t="shared" si="4"/>
        <v>0</v>
      </c>
    </row>
    <row r="58" spans="2:12" s="57" customFormat="1" ht="20.100000000000001" customHeight="1">
      <c r="B58" s="65">
        <v>53</v>
      </c>
      <c r="C58" s="106" t="s">
        <v>198</v>
      </c>
      <c r="D58" s="111" t="s">
        <v>199</v>
      </c>
      <c r="E58" s="66" t="s">
        <v>274</v>
      </c>
      <c r="F58" s="116">
        <v>11.88</v>
      </c>
      <c r="G58" s="101">
        <v>21.547999999999998</v>
      </c>
      <c r="H58" s="118">
        <f t="shared" si="3"/>
        <v>255.99024</v>
      </c>
      <c r="I58" s="61"/>
      <c r="J58" s="123">
        <v>0</v>
      </c>
      <c r="K58" s="68">
        <f t="shared" si="0"/>
        <v>0</v>
      </c>
      <c r="L58" s="125">
        <f t="shared" si="4"/>
        <v>0</v>
      </c>
    </row>
    <row r="59" spans="2:12" s="57" customFormat="1" ht="20.100000000000001" customHeight="1">
      <c r="B59" s="65">
        <v>54</v>
      </c>
      <c r="C59" s="106" t="s">
        <v>200</v>
      </c>
      <c r="D59" s="111" t="s">
        <v>201</v>
      </c>
      <c r="E59" s="66" t="s">
        <v>274</v>
      </c>
      <c r="F59" s="116">
        <v>229.9</v>
      </c>
      <c r="G59" s="101">
        <v>17.507999999999999</v>
      </c>
      <c r="H59" s="118">
        <f t="shared" si="3"/>
        <v>4025.0891999999999</v>
      </c>
      <c r="I59" s="61"/>
      <c r="J59" s="123">
        <v>0</v>
      </c>
      <c r="K59" s="68">
        <f t="shared" si="0"/>
        <v>0</v>
      </c>
      <c r="L59" s="125">
        <f t="shared" si="4"/>
        <v>0</v>
      </c>
    </row>
    <row r="60" spans="2:12" s="57" customFormat="1" ht="20.100000000000001" customHeight="1">
      <c r="B60" s="65">
        <v>55</v>
      </c>
      <c r="C60" s="106" t="s">
        <v>190</v>
      </c>
      <c r="D60" s="111" t="s">
        <v>191</v>
      </c>
      <c r="E60" s="66" t="s">
        <v>274</v>
      </c>
      <c r="F60" s="116">
        <v>229.9</v>
      </c>
      <c r="G60" s="101">
        <v>18.315999999999999</v>
      </c>
      <c r="H60" s="118">
        <f t="shared" si="3"/>
        <v>4210.8483999999999</v>
      </c>
      <c r="I60" s="61"/>
      <c r="J60" s="123">
        <v>0</v>
      </c>
      <c r="K60" s="68">
        <f t="shared" si="0"/>
        <v>0</v>
      </c>
      <c r="L60" s="125">
        <f t="shared" si="4"/>
        <v>0</v>
      </c>
    </row>
    <row r="61" spans="2:12" s="57" customFormat="1" ht="20.100000000000001" customHeight="1">
      <c r="B61" s="65">
        <v>56</v>
      </c>
      <c r="C61" s="106" t="s">
        <v>87</v>
      </c>
      <c r="D61" s="111" t="s">
        <v>202</v>
      </c>
      <c r="E61" s="66" t="s">
        <v>274</v>
      </c>
      <c r="F61" s="116">
        <v>5869.6</v>
      </c>
      <c r="G61" s="101">
        <v>11.313000000000001</v>
      </c>
      <c r="H61" s="118">
        <f t="shared" si="3"/>
        <v>66402.784800000009</v>
      </c>
      <c r="I61" s="61"/>
      <c r="J61" s="123">
        <v>5869.6</v>
      </c>
      <c r="K61" s="68">
        <f t="shared" si="0"/>
        <v>1</v>
      </c>
      <c r="L61" s="125">
        <f t="shared" si="4"/>
        <v>66402.784800000009</v>
      </c>
    </row>
    <row r="62" spans="2:12" s="57" customFormat="1" ht="20.100000000000001" customHeight="1">
      <c r="B62" s="65">
        <v>57</v>
      </c>
      <c r="C62" s="106" t="s">
        <v>63</v>
      </c>
      <c r="D62" s="111" t="s">
        <v>203</v>
      </c>
      <c r="E62" s="66" t="s">
        <v>274</v>
      </c>
      <c r="F62" s="116">
        <v>6906.9</v>
      </c>
      <c r="G62" s="101">
        <v>15.084</v>
      </c>
      <c r="H62" s="118">
        <f t="shared" si="3"/>
        <v>104183.67959999999</v>
      </c>
      <c r="I62" s="61"/>
      <c r="J62" s="123">
        <v>6906.9</v>
      </c>
      <c r="K62" s="68">
        <f t="shared" si="0"/>
        <v>1</v>
      </c>
      <c r="L62" s="125">
        <f t="shared" si="4"/>
        <v>104183.67959999999</v>
      </c>
    </row>
    <row r="63" spans="2:12" s="57" customFormat="1" ht="20.100000000000001" customHeight="1">
      <c r="B63" s="65">
        <v>58</v>
      </c>
      <c r="C63" s="106" t="s">
        <v>66</v>
      </c>
      <c r="D63" s="111" t="s">
        <v>204</v>
      </c>
      <c r="E63" s="66" t="s">
        <v>274</v>
      </c>
      <c r="F63" s="116">
        <v>2156</v>
      </c>
      <c r="G63" s="101">
        <v>18.855</v>
      </c>
      <c r="H63" s="118">
        <f t="shared" si="3"/>
        <v>40651.379999999997</v>
      </c>
      <c r="I63" s="61"/>
      <c r="J63" s="123">
        <v>2156</v>
      </c>
      <c r="K63" s="68">
        <f t="shared" si="0"/>
        <v>1</v>
      </c>
      <c r="L63" s="125">
        <f t="shared" si="4"/>
        <v>40651.379999999997</v>
      </c>
    </row>
    <row r="64" spans="2:12" s="57" customFormat="1" ht="20.100000000000001" customHeight="1">
      <c r="B64" s="65">
        <v>59</v>
      </c>
      <c r="C64" s="106" t="s">
        <v>90</v>
      </c>
      <c r="D64" s="111" t="s">
        <v>205</v>
      </c>
      <c r="E64" s="66" t="s">
        <v>265</v>
      </c>
      <c r="F64" s="116">
        <v>1</v>
      </c>
      <c r="G64" s="101"/>
      <c r="H64" s="118">
        <f t="shared" si="3"/>
        <v>0</v>
      </c>
      <c r="I64" s="61"/>
      <c r="J64" s="123">
        <v>0</v>
      </c>
      <c r="K64" s="68">
        <f t="shared" si="0"/>
        <v>0</v>
      </c>
      <c r="L64" s="125">
        <f t="shared" si="4"/>
        <v>0</v>
      </c>
    </row>
    <row r="65" spans="2:12" s="57" customFormat="1" ht="20.100000000000001" customHeight="1">
      <c r="B65" s="65">
        <v>60</v>
      </c>
      <c r="C65" s="106" t="s">
        <v>207</v>
      </c>
      <c r="D65" s="111" t="s">
        <v>208</v>
      </c>
      <c r="E65" s="66" t="s">
        <v>273</v>
      </c>
      <c r="F65" s="116">
        <v>1.1000000000000001</v>
      </c>
      <c r="G65" s="101">
        <v>6.3410000000000002</v>
      </c>
      <c r="H65" s="118">
        <f t="shared" si="3"/>
        <v>6.9751000000000012</v>
      </c>
      <c r="I65" s="61"/>
      <c r="J65" s="123">
        <v>0</v>
      </c>
      <c r="K65" s="68">
        <f t="shared" si="0"/>
        <v>0</v>
      </c>
      <c r="L65" s="125">
        <f t="shared" si="4"/>
        <v>0</v>
      </c>
    </row>
    <row r="66" spans="2:12" s="57" customFormat="1" ht="20.100000000000001" customHeight="1">
      <c r="B66" s="65">
        <v>61</v>
      </c>
      <c r="C66" s="106" t="s">
        <v>209</v>
      </c>
      <c r="D66" s="111" t="s">
        <v>210</v>
      </c>
      <c r="E66" s="66" t="s">
        <v>273</v>
      </c>
      <c r="F66" s="116">
        <v>20.9</v>
      </c>
      <c r="G66" s="101">
        <v>6.95</v>
      </c>
      <c r="H66" s="118">
        <f t="shared" si="3"/>
        <v>145.255</v>
      </c>
      <c r="I66" s="61"/>
      <c r="J66" s="123">
        <v>0</v>
      </c>
      <c r="K66" s="68">
        <f t="shared" si="0"/>
        <v>0</v>
      </c>
      <c r="L66" s="125">
        <f t="shared" si="4"/>
        <v>0</v>
      </c>
    </row>
    <row r="67" spans="2:12" s="57" customFormat="1" ht="20.100000000000001" customHeight="1">
      <c r="B67" s="65">
        <v>62</v>
      </c>
      <c r="C67" s="106" t="s">
        <v>211</v>
      </c>
      <c r="D67" s="111" t="s">
        <v>212</v>
      </c>
      <c r="E67" s="66" t="s">
        <v>273</v>
      </c>
      <c r="F67" s="116">
        <v>8.8000000000000007</v>
      </c>
      <c r="G67" s="101">
        <v>9.6270000000000007</v>
      </c>
      <c r="H67" s="118">
        <f t="shared" si="3"/>
        <v>84.717600000000019</v>
      </c>
      <c r="I67" s="61"/>
      <c r="J67" s="123">
        <v>0</v>
      </c>
      <c r="K67" s="68">
        <f t="shared" si="0"/>
        <v>0</v>
      </c>
      <c r="L67" s="125">
        <f t="shared" si="4"/>
        <v>0</v>
      </c>
    </row>
    <row r="68" spans="2:12" s="57" customFormat="1" ht="20.100000000000001" customHeight="1">
      <c r="B68" s="65">
        <v>63</v>
      </c>
      <c r="C68" s="106" t="s">
        <v>213</v>
      </c>
      <c r="D68" s="111" t="s">
        <v>214</v>
      </c>
      <c r="E68" s="66" t="s">
        <v>273</v>
      </c>
      <c r="F68" s="116">
        <v>1.1000000000000001</v>
      </c>
      <c r="G68" s="101">
        <v>14.464</v>
      </c>
      <c r="H68" s="118">
        <f t="shared" si="3"/>
        <v>15.910400000000001</v>
      </c>
      <c r="I68" s="61"/>
      <c r="J68" s="123">
        <v>0</v>
      </c>
      <c r="K68" s="68">
        <f t="shared" si="0"/>
        <v>0</v>
      </c>
      <c r="L68" s="125">
        <f t="shared" si="4"/>
        <v>0</v>
      </c>
    </row>
    <row r="69" spans="2:12" s="57" customFormat="1" ht="20.100000000000001" customHeight="1">
      <c r="B69" s="65">
        <v>64</v>
      </c>
      <c r="C69" s="106" t="s">
        <v>215</v>
      </c>
      <c r="D69" s="111" t="s">
        <v>216</v>
      </c>
      <c r="E69" s="66" t="s">
        <v>273</v>
      </c>
      <c r="F69" s="116">
        <v>2.2000000000000002</v>
      </c>
      <c r="G69" s="101">
        <v>12.023999999999999</v>
      </c>
      <c r="H69" s="118">
        <f t="shared" si="3"/>
        <v>26.4528</v>
      </c>
      <c r="I69" s="61"/>
      <c r="J69" s="123">
        <v>0</v>
      </c>
      <c r="K69" s="68">
        <f t="shared" si="0"/>
        <v>0</v>
      </c>
      <c r="L69" s="125">
        <f t="shared" si="4"/>
        <v>0</v>
      </c>
    </row>
    <row r="70" spans="2:12" s="57" customFormat="1" ht="20.100000000000001" customHeight="1">
      <c r="B70" s="65">
        <v>65</v>
      </c>
      <c r="C70" s="106" t="s">
        <v>217</v>
      </c>
      <c r="D70" s="111" t="s">
        <v>218</v>
      </c>
      <c r="E70" s="66" t="s">
        <v>273</v>
      </c>
      <c r="F70" s="116">
        <v>908.6</v>
      </c>
      <c r="G70" s="101">
        <v>11.092000000000001</v>
      </c>
      <c r="H70" s="118">
        <f t="shared" si="3"/>
        <v>10078.191200000001</v>
      </c>
      <c r="I70" s="61"/>
      <c r="J70" s="123">
        <v>0</v>
      </c>
      <c r="K70" s="68">
        <f t="shared" si="0"/>
        <v>0</v>
      </c>
      <c r="L70" s="125">
        <f t="shared" si="4"/>
        <v>0</v>
      </c>
    </row>
    <row r="71" spans="2:12" s="57" customFormat="1" ht="20.100000000000001" customHeight="1">
      <c r="B71" s="65">
        <v>66</v>
      </c>
      <c r="C71" s="106" t="s">
        <v>219</v>
      </c>
      <c r="D71" s="111" t="s">
        <v>220</v>
      </c>
      <c r="E71" s="66" t="s">
        <v>273</v>
      </c>
      <c r="F71" s="116">
        <v>193.6</v>
      </c>
      <c r="G71" s="101">
        <v>14.625999999999999</v>
      </c>
      <c r="H71" s="118">
        <f t="shared" si="3"/>
        <v>2831.5935999999997</v>
      </c>
      <c r="I71" s="61"/>
      <c r="J71" s="123">
        <v>0</v>
      </c>
      <c r="K71" s="68">
        <f t="shared" ref="K71:K90" si="5">J71/F71</f>
        <v>0</v>
      </c>
      <c r="L71" s="125">
        <f t="shared" si="4"/>
        <v>0</v>
      </c>
    </row>
    <row r="72" spans="2:12" s="57" customFormat="1" ht="20.100000000000001" customHeight="1">
      <c r="B72" s="65">
        <v>67</v>
      </c>
      <c r="C72" s="106" t="s">
        <v>221</v>
      </c>
      <c r="D72" s="111" t="s">
        <v>222</v>
      </c>
      <c r="E72" s="66" t="s">
        <v>273</v>
      </c>
      <c r="F72" s="116">
        <v>85.8</v>
      </c>
      <c r="G72" s="101">
        <v>21.123000000000001</v>
      </c>
      <c r="H72" s="118">
        <f t="shared" ref="H72:H90" si="6">F72*G72</f>
        <v>1812.3534</v>
      </c>
      <c r="I72" s="61"/>
      <c r="J72" s="123">
        <v>0</v>
      </c>
      <c r="K72" s="68">
        <f t="shared" si="5"/>
        <v>0</v>
      </c>
      <c r="L72" s="125">
        <f t="shared" ref="L72:L90" si="7">J72*G72</f>
        <v>0</v>
      </c>
    </row>
    <row r="73" spans="2:12" s="57" customFormat="1" ht="20.100000000000001" customHeight="1">
      <c r="B73" s="65">
        <v>68</v>
      </c>
      <c r="C73" s="106" t="s">
        <v>223</v>
      </c>
      <c r="D73" s="111" t="s">
        <v>224</v>
      </c>
      <c r="E73" s="66" t="s">
        <v>273</v>
      </c>
      <c r="F73" s="116">
        <v>34.1</v>
      </c>
      <c r="G73" s="101">
        <v>25.184000000000001</v>
      </c>
      <c r="H73" s="118">
        <f t="shared" si="6"/>
        <v>858.77440000000013</v>
      </c>
      <c r="I73" s="61"/>
      <c r="J73" s="123">
        <v>0</v>
      </c>
      <c r="K73" s="68">
        <f t="shared" si="5"/>
        <v>0</v>
      </c>
      <c r="L73" s="125">
        <f t="shared" si="7"/>
        <v>0</v>
      </c>
    </row>
    <row r="74" spans="2:12" s="57" customFormat="1" ht="20.100000000000001" customHeight="1">
      <c r="B74" s="65">
        <v>69</v>
      </c>
      <c r="C74" s="106" t="s">
        <v>225</v>
      </c>
      <c r="D74" s="111" t="s">
        <v>226</v>
      </c>
      <c r="E74" s="66" t="s">
        <v>273</v>
      </c>
      <c r="F74" s="116">
        <v>38.5</v>
      </c>
      <c r="G74" s="101">
        <v>33.512999999999998</v>
      </c>
      <c r="H74" s="118">
        <f t="shared" si="6"/>
        <v>1290.2504999999999</v>
      </c>
      <c r="I74" s="61"/>
      <c r="J74" s="123">
        <v>0</v>
      </c>
      <c r="K74" s="68">
        <f t="shared" si="5"/>
        <v>0</v>
      </c>
      <c r="L74" s="125">
        <f t="shared" si="7"/>
        <v>0</v>
      </c>
    </row>
    <row r="75" spans="2:12" s="57" customFormat="1" ht="20.100000000000001" customHeight="1">
      <c r="B75" s="65">
        <v>70</v>
      </c>
      <c r="C75" s="106" t="s">
        <v>227</v>
      </c>
      <c r="D75" s="111" t="s">
        <v>228</v>
      </c>
      <c r="E75" s="66" t="s">
        <v>273</v>
      </c>
      <c r="F75" s="116">
        <v>125.4</v>
      </c>
      <c r="G75" s="101">
        <v>56.052</v>
      </c>
      <c r="H75" s="118">
        <f t="shared" si="6"/>
        <v>7028.9207999999999</v>
      </c>
      <c r="I75" s="61"/>
      <c r="J75" s="123">
        <v>0</v>
      </c>
      <c r="K75" s="68">
        <f t="shared" si="5"/>
        <v>0</v>
      </c>
      <c r="L75" s="125">
        <f t="shared" si="7"/>
        <v>0</v>
      </c>
    </row>
    <row r="76" spans="2:12" s="57" customFormat="1" ht="20.100000000000001" customHeight="1">
      <c r="B76" s="65">
        <v>71</v>
      </c>
      <c r="C76" s="106" t="s">
        <v>229</v>
      </c>
      <c r="D76" s="112" t="s">
        <v>230</v>
      </c>
      <c r="E76" s="66" t="s">
        <v>273</v>
      </c>
      <c r="F76" s="116">
        <v>39.6</v>
      </c>
      <c r="G76" s="101">
        <v>44.68</v>
      </c>
      <c r="H76" s="118">
        <f t="shared" si="6"/>
        <v>1769.328</v>
      </c>
      <c r="I76" s="61"/>
      <c r="J76" s="123">
        <v>0</v>
      </c>
      <c r="K76" s="68">
        <f t="shared" si="5"/>
        <v>0</v>
      </c>
      <c r="L76" s="125">
        <f t="shared" si="7"/>
        <v>0</v>
      </c>
    </row>
    <row r="77" spans="2:12" s="57" customFormat="1" ht="20.100000000000001" customHeight="1">
      <c r="B77" s="65">
        <v>72</v>
      </c>
      <c r="C77" s="106" t="s">
        <v>91</v>
      </c>
      <c r="D77" s="112" t="s">
        <v>233</v>
      </c>
      <c r="E77" s="66" t="s">
        <v>273</v>
      </c>
      <c r="F77" s="116">
        <v>43500</v>
      </c>
      <c r="G77" s="101">
        <v>0.61</v>
      </c>
      <c r="H77" s="118">
        <f t="shared" si="6"/>
        <v>26535</v>
      </c>
      <c r="I77" s="61"/>
      <c r="J77" s="123">
        <v>43500</v>
      </c>
      <c r="K77" s="68">
        <f t="shared" si="5"/>
        <v>1</v>
      </c>
      <c r="L77" s="125">
        <f t="shared" si="7"/>
        <v>26535</v>
      </c>
    </row>
    <row r="78" spans="2:12" s="57" customFormat="1" ht="20.100000000000001" customHeight="1">
      <c r="B78" s="65">
        <v>73</v>
      </c>
      <c r="C78" s="106" t="s">
        <v>91</v>
      </c>
      <c r="D78" s="112" t="s">
        <v>234</v>
      </c>
      <c r="E78" s="66" t="s">
        <v>273</v>
      </c>
      <c r="F78" s="116">
        <v>13000</v>
      </c>
      <c r="G78" s="101">
        <v>1</v>
      </c>
      <c r="H78" s="118">
        <f t="shared" si="6"/>
        <v>13000</v>
      </c>
      <c r="I78" s="61"/>
      <c r="J78" s="123">
        <v>13000</v>
      </c>
      <c r="K78" s="68">
        <f t="shared" si="5"/>
        <v>1</v>
      </c>
      <c r="L78" s="125">
        <f t="shared" si="7"/>
        <v>13000</v>
      </c>
    </row>
    <row r="79" spans="2:12" s="57" customFormat="1" ht="20.100000000000001" customHeight="1">
      <c r="B79" s="65">
        <v>74</v>
      </c>
      <c r="C79" s="106" t="s">
        <v>91</v>
      </c>
      <c r="D79" s="112" t="s">
        <v>245</v>
      </c>
      <c r="E79" s="100" t="s">
        <v>264</v>
      </c>
      <c r="F79" s="116">
        <v>72000</v>
      </c>
      <c r="G79" s="101">
        <v>0.08</v>
      </c>
      <c r="H79" s="118">
        <f t="shared" si="6"/>
        <v>5760</v>
      </c>
      <c r="I79" s="61"/>
      <c r="J79" s="123">
        <v>72000</v>
      </c>
      <c r="K79" s="68">
        <f t="shared" si="5"/>
        <v>1</v>
      </c>
      <c r="L79" s="125">
        <f t="shared" si="7"/>
        <v>5760</v>
      </c>
    </row>
    <row r="80" spans="2:12" s="57" customFormat="1" ht="20.100000000000001" customHeight="1">
      <c r="B80" s="65">
        <v>75</v>
      </c>
      <c r="C80" s="106" t="s">
        <v>91</v>
      </c>
      <c r="D80" s="112" t="s">
        <v>246</v>
      </c>
      <c r="E80" s="100" t="s">
        <v>264</v>
      </c>
      <c r="F80" s="116">
        <v>3500</v>
      </c>
      <c r="G80" s="101">
        <v>0.08</v>
      </c>
      <c r="H80" s="118">
        <f t="shared" si="6"/>
        <v>280</v>
      </c>
      <c r="I80" s="61"/>
      <c r="J80" s="123">
        <v>3500</v>
      </c>
      <c r="K80" s="68">
        <f t="shared" si="5"/>
        <v>1</v>
      </c>
      <c r="L80" s="125">
        <f t="shared" si="7"/>
        <v>280</v>
      </c>
    </row>
    <row r="81" spans="2:12" s="57" customFormat="1" ht="20.100000000000001" customHeight="1">
      <c r="B81" s="65">
        <v>76</v>
      </c>
      <c r="C81" s="106" t="s">
        <v>91</v>
      </c>
      <c r="D81" s="112" t="s">
        <v>235</v>
      </c>
      <c r="E81" s="100" t="s">
        <v>264</v>
      </c>
      <c r="F81" s="116">
        <v>120000</v>
      </c>
      <c r="G81" s="101">
        <v>6.6000000000000003E-2</v>
      </c>
      <c r="H81" s="118">
        <f t="shared" si="6"/>
        <v>7920</v>
      </c>
      <c r="I81" s="61"/>
      <c r="J81" s="123">
        <v>120000</v>
      </c>
      <c r="K81" s="68">
        <f t="shared" si="5"/>
        <v>1</v>
      </c>
      <c r="L81" s="125">
        <f t="shared" si="7"/>
        <v>7920</v>
      </c>
    </row>
    <row r="82" spans="2:12" s="57" customFormat="1" ht="20.100000000000001" customHeight="1">
      <c r="B82" s="65">
        <v>77</v>
      </c>
      <c r="C82" s="106" t="s">
        <v>91</v>
      </c>
      <c r="D82" s="112" t="s">
        <v>236</v>
      </c>
      <c r="E82" s="100" t="s">
        <v>264</v>
      </c>
      <c r="F82" s="116">
        <v>80000</v>
      </c>
      <c r="G82" s="101">
        <v>5.7000000000000002E-2</v>
      </c>
      <c r="H82" s="118">
        <f t="shared" si="6"/>
        <v>4560</v>
      </c>
      <c r="I82" s="61"/>
      <c r="J82" s="123">
        <v>80000</v>
      </c>
      <c r="K82" s="68">
        <f t="shared" si="5"/>
        <v>1</v>
      </c>
      <c r="L82" s="125">
        <f t="shared" si="7"/>
        <v>4560</v>
      </c>
    </row>
    <row r="83" spans="2:12" s="57" customFormat="1" ht="20.100000000000001" customHeight="1">
      <c r="B83" s="65">
        <v>78</v>
      </c>
      <c r="C83" s="106" t="s">
        <v>91</v>
      </c>
      <c r="D83" s="112" t="s">
        <v>237</v>
      </c>
      <c r="E83" s="100" t="s">
        <v>264</v>
      </c>
      <c r="F83" s="116">
        <v>120000</v>
      </c>
      <c r="G83" s="101">
        <v>3.5999999999999997E-2</v>
      </c>
      <c r="H83" s="118">
        <f t="shared" si="6"/>
        <v>4320</v>
      </c>
      <c r="I83" s="61"/>
      <c r="J83" s="123">
        <v>53100</v>
      </c>
      <c r="K83" s="68">
        <f t="shared" si="5"/>
        <v>0.4425</v>
      </c>
      <c r="L83" s="125">
        <f t="shared" si="7"/>
        <v>1911.6</v>
      </c>
    </row>
    <row r="84" spans="2:12" s="57" customFormat="1" ht="20.100000000000001" customHeight="1">
      <c r="B84" s="65">
        <v>79</v>
      </c>
      <c r="C84" s="106" t="s">
        <v>91</v>
      </c>
      <c r="D84" s="112" t="s">
        <v>238</v>
      </c>
      <c r="E84" s="100" t="s">
        <v>264</v>
      </c>
      <c r="F84" s="116">
        <v>3090</v>
      </c>
      <c r="G84" s="101">
        <v>6.6</v>
      </c>
      <c r="H84" s="118">
        <f t="shared" si="6"/>
        <v>20394</v>
      </c>
      <c r="I84" s="61"/>
      <c r="J84" s="123">
        <v>0</v>
      </c>
      <c r="K84" s="68">
        <f t="shared" si="5"/>
        <v>0</v>
      </c>
      <c r="L84" s="125">
        <f t="shared" si="7"/>
        <v>0</v>
      </c>
    </row>
    <row r="85" spans="2:12" s="57" customFormat="1" ht="20.100000000000001" customHeight="1">
      <c r="B85" s="65">
        <v>80</v>
      </c>
      <c r="C85" s="106" t="s">
        <v>91</v>
      </c>
      <c r="D85" s="112" t="s">
        <v>239</v>
      </c>
      <c r="E85" s="100" t="s">
        <v>264</v>
      </c>
      <c r="F85" s="116">
        <v>3200</v>
      </c>
      <c r="G85" s="101">
        <v>0.09</v>
      </c>
      <c r="H85" s="118">
        <f t="shared" si="6"/>
        <v>288</v>
      </c>
      <c r="I85" s="61"/>
      <c r="J85" s="123">
        <v>3200</v>
      </c>
      <c r="K85" s="68">
        <f t="shared" si="5"/>
        <v>1</v>
      </c>
      <c r="L85" s="125">
        <f t="shared" si="7"/>
        <v>288</v>
      </c>
    </row>
    <row r="86" spans="2:12" s="57" customFormat="1" ht="20.100000000000001" customHeight="1">
      <c r="B86" s="65">
        <v>81</v>
      </c>
      <c r="C86" s="106" t="s">
        <v>91</v>
      </c>
      <c r="D86" s="112" t="s">
        <v>240</v>
      </c>
      <c r="E86" s="66" t="s">
        <v>273</v>
      </c>
      <c r="F86" s="116">
        <v>106000</v>
      </c>
      <c r="G86" s="101">
        <v>0.21</v>
      </c>
      <c r="H86" s="118">
        <f t="shared" si="6"/>
        <v>22260</v>
      </c>
      <c r="I86" s="61"/>
      <c r="J86" s="123">
        <v>106000</v>
      </c>
      <c r="K86" s="68">
        <f t="shared" si="5"/>
        <v>1</v>
      </c>
      <c r="L86" s="125">
        <f t="shared" si="7"/>
        <v>22260</v>
      </c>
    </row>
    <row r="87" spans="2:12" s="57" customFormat="1" ht="20.100000000000001" customHeight="1">
      <c r="B87" s="65">
        <v>82</v>
      </c>
      <c r="C87" s="106" t="s">
        <v>91</v>
      </c>
      <c r="D87" s="112" t="s">
        <v>241</v>
      </c>
      <c r="E87" s="100" t="s">
        <v>276</v>
      </c>
      <c r="F87" s="116">
        <v>75</v>
      </c>
      <c r="G87" s="101">
        <v>15.95</v>
      </c>
      <c r="H87" s="118">
        <f t="shared" si="6"/>
        <v>1196.25</v>
      </c>
      <c r="I87" s="61"/>
      <c r="J87" s="123">
        <v>75</v>
      </c>
      <c r="K87" s="68">
        <f t="shared" si="5"/>
        <v>1</v>
      </c>
      <c r="L87" s="125">
        <f t="shared" si="7"/>
        <v>1196.25</v>
      </c>
    </row>
    <row r="88" spans="2:12" s="57" customFormat="1" ht="20.100000000000001" customHeight="1">
      <c r="B88" s="65">
        <v>83</v>
      </c>
      <c r="C88" s="106" t="s">
        <v>91</v>
      </c>
      <c r="D88" s="112" t="s">
        <v>104</v>
      </c>
      <c r="E88" s="100" t="s">
        <v>275</v>
      </c>
      <c r="F88" s="116">
        <v>2075</v>
      </c>
      <c r="G88" s="101">
        <v>2.65</v>
      </c>
      <c r="H88" s="118">
        <f t="shared" si="6"/>
        <v>5498.75</v>
      </c>
      <c r="I88" s="61"/>
      <c r="J88" s="123">
        <v>2075</v>
      </c>
      <c r="K88" s="68">
        <f t="shared" si="5"/>
        <v>1</v>
      </c>
      <c r="L88" s="125">
        <f t="shared" si="7"/>
        <v>5498.75</v>
      </c>
    </row>
    <row r="89" spans="2:12" s="57" customFormat="1" ht="20.100000000000001" customHeight="1">
      <c r="B89" s="65">
        <v>84</v>
      </c>
      <c r="C89" s="106" t="s">
        <v>91</v>
      </c>
      <c r="D89" s="112" t="s">
        <v>106</v>
      </c>
      <c r="E89" s="100" t="s">
        <v>275</v>
      </c>
      <c r="F89" s="116">
        <v>550</v>
      </c>
      <c r="G89" s="101">
        <v>3</v>
      </c>
      <c r="H89" s="118">
        <f t="shared" si="6"/>
        <v>1650</v>
      </c>
      <c r="I89" s="61"/>
      <c r="J89" s="123">
        <v>550</v>
      </c>
      <c r="K89" s="68">
        <f t="shared" si="5"/>
        <v>1</v>
      </c>
      <c r="L89" s="125">
        <f t="shared" si="7"/>
        <v>1650</v>
      </c>
    </row>
    <row r="90" spans="2:12" s="57" customFormat="1" ht="20.100000000000001" customHeight="1">
      <c r="B90" s="69">
        <v>85</v>
      </c>
      <c r="C90" s="133" t="s">
        <v>91</v>
      </c>
      <c r="D90" s="134" t="s">
        <v>107</v>
      </c>
      <c r="E90" s="70" t="s">
        <v>275</v>
      </c>
      <c r="F90" s="135">
        <v>750</v>
      </c>
      <c r="G90" s="71">
        <v>1.3</v>
      </c>
      <c r="H90" s="136">
        <f t="shared" si="6"/>
        <v>975</v>
      </c>
      <c r="I90" s="61"/>
      <c r="J90" s="131">
        <v>750</v>
      </c>
      <c r="K90" s="72">
        <f t="shared" si="5"/>
        <v>1</v>
      </c>
      <c r="L90" s="132">
        <f t="shared" si="7"/>
        <v>975</v>
      </c>
    </row>
    <row r="91" spans="2:12" ht="5.0999999999999996" customHeight="1">
      <c r="D91" s="73"/>
      <c r="E91" s="73"/>
      <c r="F91" s="73"/>
      <c r="G91" s="74"/>
      <c r="H91" s="75"/>
      <c r="I91" s="76"/>
      <c r="J91" s="77"/>
      <c r="K91" s="77"/>
      <c r="L91" s="78"/>
    </row>
    <row r="92" spans="2:12" s="79" customFormat="1" ht="24" thickBot="1">
      <c r="D92" s="80"/>
      <c r="E92" s="80"/>
      <c r="F92" s="80"/>
      <c r="G92" s="81"/>
      <c r="H92" s="119">
        <f>SUM(H6:H90)</f>
        <v>529403.56890000007</v>
      </c>
      <c r="I92" s="82"/>
      <c r="J92" s="83"/>
      <c r="K92" s="83"/>
      <c r="L92" s="119">
        <f>SUM(L6:L90)</f>
        <v>320073.39489999996</v>
      </c>
    </row>
    <row r="93" spans="2:12" ht="20.100000000000001" customHeight="1" thickTop="1">
      <c r="D93" s="73"/>
      <c r="E93" s="73"/>
      <c r="F93" s="84"/>
      <c r="G93" s="85"/>
      <c r="H93" s="73"/>
      <c r="I93" s="73"/>
      <c r="J93" s="73"/>
      <c r="K93" s="73"/>
      <c r="L93" s="73"/>
    </row>
    <row r="94" spans="2:12" ht="33.75">
      <c r="B94" s="48" t="s">
        <v>266</v>
      </c>
      <c r="C94" s="48"/>
      <c r="D94" s="86"/>
      <c r="E94" s="48"/>
      <c r="F94" s="86"/>
      <c r="G94" s="86"/>
      <c r="H94" s="87" t="s">
        <v>267</v>
      </c>
      <c r="I94" s="88"/>
      <c r="J94" s="48" t="s">
        <v>268</v>
      </c>
      <c r="K94" s="48"/>
      <c r="L94" s="86"/>
    </row>
    <row r="95" spans="2:12" ht="6" customHeight="1">
      <c r="G95" s="49"/>
      <c r="H95" s="50"/>
      <c r="I95" s="88"/>
    </row>
    <row r="96" spans="2:12" s="89" customFormat="1" ht="21.95" customHeight="1">
      <c r="B96" s="89" t="s">
        <v>280</v>
      </c>
      <c r="H96" s="126">
        <f>L92</f>
        <v>320073.39489999996</v>
      </c>
      <c r="I96" s="90"/>
      <c r="J96" s="446" t="s">
        <v>287</v>
      </c>
      <c r="K96" s="446"/>
      <c r="L96" s="446"/>
    </row>
    <row r="97" spans="2:13" ht="21.95" customHeight="1">
      <c r="B97" s="92" t="s">
        <v>269</v>
      </c>
      <c r="C97" s="92"/>
      <c r="D97" s="89"/>
      <c r="E97" s="92"/>
      <c r="F97" s="89"/>
      <c r="G97" s="89"/>
      <c r="H97" s="127">
        <f>H96*9%</f>
        <v>28806.605540999994</v>
      </c>
      <c r="I97" s="93"/>
      <c r="J97" s="446"/>
      <c r="K97" s="446"/>
      <c r="L97" s="446"/>
    </row>
    <row r="98" spans="2:13" ht="21.95" customHeight="1">
      <c r="B98" s="94" t="s">
        <v>281</v>
      </c>
      <c r="C98" s="94"/>
      <c r="D98" s="91"/>
      <c r="E98" s="94"/>
      <c r="F98" s="91"/>
      <c r="G98" s="91"/>
      <c r="H98" s="128">
        <f>SUM(H96:H97)</f>
        <v>348880.00044099992</v>
      </c>
      <c r="J98" s="446"/>
      <c r="K98" s="446"/>
      <c r="L98" s="446"/>
    </row>
    <row r="99" spans="2:13" ht="21.95" customHeight="1">
      <c r="B99" s="89"/>
      <c r="C99" s="89"/>
      <c r="D99" s="89"/>
      <c r="E99" s="89"/>
      <c r="F99" s="89"/>
      <c r="G99" s="95"/>
      <c r="H99" s="129"/>
      <c r="J99" s="446"/>
      <c r="K99" s="446"/>
      <c r="L99" s="446"/>
    </row>
    <row r="100" spans="2:13" ht="21.95" customHeight="1">
      <c r="B100" s="91" t="s">
        <v>270</v>
      </c>
      <c r="C100" s="91"/>
      <c r="D100" s="89"/>
      <c r="E100" s="89"/>
      <c r="F100" s="89"/>
      <c r="G100" s="95"/>
      <c r="H100" s="129"/>
      <c r="J100" s="446"/>
      <c r="K100" s="446"/>
      <c r="L100" s="446"/>
    </row>
    <row r="101" spans="2:13" ht="21.95" customHeight="1">
      <c r="B101" s="89" t="s">
        <v>277</v>
      </c>
      <c r="C101" s="89"/>
      <c r="D101" s="89"/>
      <c r="E101" s="89"/>
      <c r="F101" s="89"/>
      <c r="G101" s="95"/>
      <c r="H101" s="129">
        <f>H96*30%</f>
        <v>96022.018469999981</v>
      </c>
      <c r="J101" s="446"/>
      <c r="K101" s="446"/>
      <c r="L101" s="446"/>
    </row>
    <row r="102" spans="2:13" ht="21.95" customHeight="1">
      <c r="B102" s="94" t="s">
        <v>271</v>
      </c>
      <c r="C102" s="94"/>
      <c r="D102" s="91"/>
      <c r="E102" s="94"/>
      <c r="F102" s="91"/>
      <c r="G102" s="91"/>
      <c r="H102" s="128">
        <f>SUM(H101:H101)</f>
        <v>96022.018469999981</v>
      </c>
      <c r="I102" s="97"/>
      <c r="J102" s="446"/>
      <c r="K102" s="446"/>
      <c r="L102" s="446"/>
      <c r="M102" s="96"/>
    </row>
    <row r="103" spans="2:13" ht="21.95" customHeight="1">
      <c r="B103" s="89"/>
      <c r="C103" s="89"/>
      <c r="D103" s="89"/>
      <c r="E103" s="89"/>
      <c r="F103" s="89"/>
      <c r="G103" s="98"/>
      <c r="H103" s="129"/>
      <c r="J103" s="446"/>
      <c r="K103" s="446"/>
      <c r="L103" s="446"/>
    </row>
    <row r="104" spans="2:13" ht="21.95" customHeight="1" thickBot="1">
      <c r="B104" s="94" t="s">
        <v>272</v>
      </c>
      <c r="C104" s="94"/>
      <c r="D104" s="91"/>
      <c r="E104" s="94"/>
      <c r="F104" s="91"/>
      <c r="G104" s="91"/>
      <c r="H104" s="130">
        <f>H98-H102</f>
        <v>252857.98197099994</v>
      </c>
      <c r="J104" s="446"/>
      <c r="K104" s="446"/>
      <c r="L104" s="446"/>
    </row>
    <row r="105" spans="2:13" ht="21.95" customHeight="1" thickTop="1">
      <c r="H105" s="99"/>
      <c r="J105" s="267"/>
      <c r="K105" s="137"/>
      <c r="L105" s="137"/>
    </row>
    <row r="106" spans="2:13" ht="21.95" customHeight="1">
      <c r="H106" s="99"/>
      <c r="J106" s="137"/>
      <c r="K106" s="137"/>
      <c r="L106" s="137"/>
    </row>
  </sheetData>
  <autoFilter ref="A5:P90" xr:uid="{2677F53A-618D-4F2A-ACD6-49F1DBDD5742}"/>
  <mergeCells count="1">
    <mergeCell ref="J96:L104"/>
  </mergeCells>
  <printOptions horizontalCentered="1"/>
  <pageMargins left="0.25" right="0.25" top="0.75" bottom="0.35" header="0.3" footer="0.3"/>
  <pageSetup scale="63" fitToHeight="0" orientation="portrait" r:id="rId1"/>
  <headerFooter>
    <oddFooter>&amp;Cصفحه &amp;P از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AAEB2-5C7F-467B-B0D5-D4A953E34CB6}">
  <sheetPr>
    <pageSetUpPr fitToPage="1"/>
  </sheetPr>
  <dimension ref="B1:X108"/>
  <sheetViews>
    <sheetView rightToLeft="1" view="pageBreakPreview" topLeftCell="A91" zoomScaleNormal="100" zoomScaleSheetLayoutView="100" workbookViewId="0">
      <selection activeCell="H96" sqref="H96"/>
    </sheetView>
  </sheetViews>
  <sheetFormatPr defaultColWidth="9.140625" defaultRowHeight="19.5"/>
  <cols>
    <col min="1" max="1" width="2.7109375" style="49" customWidth="1"/>
    <col min="2" max="2" width="5.7109375" style="49" customWidth="1"/>
    <col min="3" max="3" width="12.140625" style="49" bestFit="1" customWidth="1"/>
    <col min="4" max="4" width="60.5703125" style="49" customWidth="1"/>
    <col min="5" max="5" width="5" style="49" bestFit="1" customWidth="1"/>
    <col min="6" max="6" width="11.140625" style="49" bestFit="1" customWidth="1"/>
    <col min="7" max="7" width="9.140625" style="50" bestFit="1" customWidth="1"/>
    <col min="8" max="8" width="14.5703125" style="49" bestFit="1" customWidth="1"/>
    <col min="9" max="9" width="1.7109375" style="49" customWidth="1"/>
    <col min="10" max="10" width="13.42578125" style="49" bestFit="1" customWidth="1"/>
    <col min="11" max="12" width="13.42578125" style="49" customWidth="1"/>
    <col min="13" max="13" width="10.85546875" style="49" bestFit="1" customWidth="1"/>
    <col min="14" max="14" width="12.85546875" style="49" customWidth="1"/>
    <col min="15" max="15" width="2.7109375" style="49" customWidth="1"/>
    <col min="16" max="16" width="0" style="49" hidden="1" customWidth="1"/>
    <col min="17" max="17" width="16.42578125" style="49" hidden="1" customWidth="1"/>
    <col min="18" max="18" width="10" style="49" hidden="1" customWidth="1"/>
    <col min="19" max="23" width="0" style="49" hidden="1" customWidth="1"/>
    <col min="24" max="24" width="15.28515625" style="49" bestFit="1" customWidth="1"/>
    <col min="25" max="16384" width="9.140625" style="49"/>
  </cols>
  <sheetData>
    <row r="1" spans="2:24" s="45" customFormat="1" ht="27.95" customHeight="1">
      <c r="B1" s="44" t="s">
        <v>286</v>
      </c>
      <c r="C1" s="44"/>
      <c r="E1" s="44"/>
      <c r="G1" s="46"/>
      <c r="N1" s="47" t="s">
        <v>284</v>
      </c>
    </row>
    <row r="2" spans="2:24" s="45" customFormat="1" ht="27.95" customHeight="1">
      <c r="B2" s="44" t="s">
        <v>254</v>
      </c>
      <c r="C2" s="44"/>
      <c r="E2" s="44"/>
      <c r="G2" s="46"/>
      <c r="N2" s="47" t="s">
        <v>278</v>
      </c>
    </row>
    <row r="3" spans="2:24" s="45" customFormat="1" ht="27.95" customHeight="1">
      <c r="B3" s="44" t="s">
        <v>285</v>
      </c>
      <c r="C3" s="44"/>
      <c r="E3" s="44"/>
      <c r="G3" s="138"/>
      <c r="N3" s="47" t="s">
        <v>297</v>
      </c>
    </row>
    <row r="4" spans="2:24" ht="6" customHeight="1"/>
    <row r="5" spans="2:24" s="57" customFormat="1" ht="72">
      <c r="B5" s="51" t="s">
        <v>255</v>
      </c>
      <c r="C5" s="51" t="s">
        <v>256</v>
      </c>
      <c r="D5" s="51" t="s">
        <v>257</v>
      </c>
      <c r="E5" s="52" t="s">
        <v>258</v>
      </c>
      <c r="F5" s="52" t="s">
        <v>259</v>
      </c>
      <c r="G5" s="52" t="s">
        <v>260</v>
      </c>
      <c r="H5" s="53" t="s">
        <v>261</v>
      </c>
      <c r="I5" s="54"/>
      <c r="J5" s="55" t="s">
        <v>288</v>
      </c>
      <c r="K5" s="55" t="s">
        <v>289</v>
      </c>
      <c r="L5" s="55" t="s">
        <v>292</v>
      </c>
      <c r="M5" s="55" t="s">
        <v>283</v>
      </c>
      <c r="N5" s="56" t="s">
        <v>295</v>
      </c>
      <c r="P5" s="57" t="s">
        <v>263</v>
      </c>
    </row>
    <row r="6" spans="2:24" s="57" customFormat="1" ht="20.100000000000001" customHeight="1">
      <c r="B6" s="58">
        <v>1</v>
      </c>
      <c r="C6" s="103" t="s">
        <v>118</v>
      </c>
      <c r="D6" s="107" t="s">
        <v>119</v>
      </c>
      <c r="E6" s="59" t="s">
        <v>273</v>
      </c>
      <c r="F6" s="113">
        <v>277.5</v>
      </c>
      <c r="G6" s="60">
        <v>1.077</v>
      </c>
      <c r="H6" s="117">
        <f>F6*G6</f>
        <v>298.86750000000001</v>
      </c>
      <c r="I6" s="61"/>
      <c r="J6" s="152">
        <v>0</v>
      </c>
      <c r="K6" s="152">
        <v>0</v>
      </c>
      <c r="L6" s="152">
        <f t="shared" ref="L6:L37" si="0">SUM(J6:K6)</f>
        <v>0</v>
      </c>
      <c r="M6" s="183">
        <f t="shared" ref="M6:M37" si="1">L6/F6</f>
        <v>0</v>
      </c>
      <c r="N6" s="124">
        <f t="shared" ref="N6:N37" si="2">L6*G6</f>
        <v>0</v>
      </c>
      <c r="P6" s="57">
        <v>36</v>
      </c>
      <c r="Q6" s="63">
        <f t="shared" ref="Q6:Q28" si="3">P6-J6</f>
        <v>36</v>
      </c>
      <c r="R6" s="64">
        <f t="shared" ref="R6:R28" si="4">P6*G6</f>
        <v>38.771999999999998</v>
      </c>
      <c r="X6" s="181">
        <f>(L6-F6)*G6</f>
        <v>-298.86750000000001</v>
      </c>
    </row>
    <row r="7" spans="2:24" s="57" customFormat="1" ht="20.100000000000001" customHeight="1">
      <c r="B7" s="65">
        <v>2</v>
      </c>
      <c r="C7" s="104" t="s">
        <v>35</v>
      </c>
      <c r="D7" s="108" t="s">
        <v>120</v>
      </c>
      <c r="E7" s="66" t="s">
        <v>273</v>
      </c>
      <c r="F7" s="114">
        <v>22</v>
      </c>
      <c r="G7" s="67">
        <v>1.508</v>
      </c>
      <c r="H7" s="118">
        <f>F7*G7</f>
        <v>33.176000000000002</v>
      </c>
      <c r="I7" s="61"/>
      <c r="J7" s="153">
        <v>22</v>
      </c>
      <c r="K7" s="153">
        <v>0</v>
      </c>
      <c r="L7" s="153">
        <f t="shared" si="0"/>
        <v>22</v>
      </c>
      <c r="M7" s="158">
        <f t="shared" si="1"/>
        <v>1</v>
      </c>
      <c r="N7" s="125">
        <f t="shared" si="2"/>
        <v>33.176000000000002</v>
      </c>
      <c r="P7" s="57">
        <v>4</v>
      </c>
      <c r="Q7" s="63">
        <f t="shared" si="3"/>
        <v>-18</v>
      </c>
      <c r="R7" s="64">
        <f t="shared" si="4"/>
        <v>6.032</v>
      </c>
      <c r="X7" s="181">
        <f t="shared" ref="X7:X70" si="5">(L7-F7)*G7</f>
        <v>0</v>
      </c>
    </row>
    <row r="8" spans="2:24" s="57" customFormat="1" ht="20.100000000000001" customHeight="1">
      <c r="B8" s="65">
        <v>3</v>
      </c>
      <c r="C8" s="104" t="s">
        <v>37</v>
      </c>
      <c r="D8" s="108" t="s">
        <v>121</v>
      </c>
      <c r="E8" s="66" t="s">
        <v>273</v>
      </c>
      <c r="F8" s="114">
        <v>1.5</v>
      </c>
      <c r="G8" s="67">
        <v>2.2970000000000002</v>
      </c>
      <c r="H8" s="118">
        <f t="shared" ref="H8:H71" si="6">F8*G8</f>
        <v>3.4455</v>
      </c>
      <c r="I8" s="61"/>
      <c r="J8" s="153">
        <v>1.5</v>
      </c>
      <c r="K8" s="153">
        <v>0</v>
      </c>
      <c r="L8" s="153">
        <f t="shared" si="0"/>
        <v>1.5</v>
      </c>
      <c r="M8" s="158">
        <f t="shared" si="1"/>
        <v>1</v>
      </c>
      <c r="N8" s="125">
        <f t="shared" si="2"/>
        <v>3.4455</v>
      </c>
      <c r="P8" s="57">
        <v>112</v>
      </c>
      <c r="Q8" s="63">
        <f t="shared" si="3"/>
        <v>110.5</v>
      </c>
      <c r="R8" s="64">
        <f t="shared" si="4"/>
        <v>257.26400000000001</v>
      </c>
      <c r="X8" s="181">
        <f t="shared" si="5"/>
        <v>0</v>
      </c>
    </row>
    <row r="9" spans="2:24" s="57" customFormat="1" ht="20.100000000000001" customHeight="1">
      <c r="B9" s="65">
        <v>4</v>
      </c>
      <c r="C9" s="104" t="s">
        <v>48</v>
      </c>
      <c r="D9" s="108" t="s">
        <v>122</v>
      </c>
      <c r="E9" s="66" t="s">
        <v>273</v>
      </c>
      <c r="F9" s="114">
        <v>1558</v>
      </c>
      <c r="G9" s="67">
        <v>1.149</v>
      </c>
      <c r="H9" s="118">
        <f t="shared" si="6"/>
        <v>1790.1420000000001</v>
      </c>
      <c r="I9" s="61"/>
      <c r="J9" s="153">
        <v>1558</v>
      </c>
      <c r="K9" s="153">
        <v>0</v>
      </c>
      <c r="L9" s="153">
        <f t="shared" si="0"/>
        <v>1558</v>
      </c>
      <c r="M9" s="158">
        <f t="shared" si="1"/>
        <v>1</v>
      </c>
      <c r="N9" s="125">
        <f t="shared" si="2"/>
        <v>1790.1420000000001</v>
      </c>
      <c r="P9" s="57">
        <v>30</v>
      </c>
      <c r="Q9" s="63">
        <f t="shared" si="3"/>
        <v>-1528</v>
      </c>
      <c r="R9" s="64">
        <f t="shared" si="4"/>
        <v>34.47</v>
      </c>
      <c r="X9" s="181">
        <f t="shared" si="5"/>
        <v>0</v>
      </c>
    </row>
    <row r="10" spans="2:24" s="57" customFormat="1" ht="20.100000000000001" customHeight="1">
      <c r="B10" s="65">
        <v>5</v>
      </c>
      <c r="C10" s="104" t="s">
        <v>50</v>
      </c>
      <c r="D10" s="108" t="s">
        <v>123</v>
      </c>
      <c r="E10" s="66" t="s">
        <v>273</v>
      </c>
      <c r="F10" s="114">
        <v>122.5</v>
      </c>
      <c r="G10" s="67">
        <v>1.7230000000000001</v>
      </c>
      <c r="H10" s="118">
        <f t="shared" si="6"/>
        <v>211.06750000000002</v>
      </c>
      <c r="I10" s="61"/>
      <c r="J10" s="153">
        <v>122.5</v>
      </c>
      <c r="K10" s="153">
        <v>0</v>
      </c>
      <c r="L10" s="153">
        <f t="shared" si="0"/>
        <v>122.5</v>
      </c>
      <c r="M10" s="158">
        <f t="shared" si="1"/>
        <v>1</v>
      </c>
      <c r="N10" s="125">
        <f t="shared" si="2"/>
        <v>211.06750000000002</v>
      </c>
      <c r="P10" s="57">
        <v>54</v>
      </c>
      <c r="Q10" s="63">
        <f t="shared" si="3"/>
        <v>-68.5</v>
      </c>
      <c r="R10" s="64">
        <f t="shared" si="4"/>
        <v>93.042000000000002</v>
      </c>
      <c r="X10" s="181">
        <f t="shared" si="5"/>
        <v>0</v>
      </c>
    </row>
    <row r="11" spans="2:24" s="57" customFormat="1" ht="20.100000000000001" customHeight="1">
      <c r="B11" s="65">
        <v>6</v>
      </c>
      <c r="C11" s="104" t="s">
        <v>52</v>
      </c>
      <c r="D11" s="108" t="s">
        <v>124</v>
      </c>
      <c r="E11" s="66" t="s">
        <v>273</v>
      </c>
      <c r="F11" s="114">
        <v>4.5</v>
      </c>
      <c r="G11" s="67">
        <v>2.44</v>
      </c>
      <c r="H11" s="118">
        <f t="shared" si="6"/>
        <v>10.98</v>
      </c>
      <c r="I11" s="61"/>
      <c r="J11" s="153">
        <v>4.5</v>
      </c>
      <c r="K11" s="153">
        <v>0</v>
      </c>
      <c r="L11" s="153">
        <f t="shared" si="0"/>
        <v>4.5</v>
      </c>
      <c r="M11" s="158">
        <f t="shared" si="1"/>
        <v>1</v>
      </c>
      <c r="N11" s="125">
        <f t="shared" si="2"/>
        <v>10.98</v>
      </c>
      <c r="P11" s="57">
        <v>14</v>
      </c>
      <c r="Q11" s="63">
        <f t="shared" si="3"/>
        <v>9.5</v>
      </c>
      <c r="R11" s="64">
        <f t="shared" si="4"/>
        <v>34.159999999999997</v>
      </c>
      <c r="X11" s="181">
        <f t="shared" si="5"/>
        <v>0</v>
      </c>
    </row>
    <row r="12" spans="2:24" s="57" customFormat="1" ht="20.100000000000001" customHeight="1">
      <c r="B12" s="65">
        <v>7</v>
      </c>
      <c r="C12" s="104" t="s">
        <v>125</v>
      </c>
      <c r="D12" s="108" t="s">
        <v>126</v>
      </c>
      <c r="E12" s="66" t="s">
        <v>273</v>
      </c>
      <c r="F12" s="114">
        <v>1104.5</v>
      </c>
      <c r="G12" s="67">
        <v>1.1919999999999999</v>
      </c>
      <c r="H12" s="118">
        <f t="shared" si="6"/>
        <v>1316.5639999999999</v>
      </c>
      <c r="I12" s="61"/>
      <c r="J12" s="153">
        <v>0</v>
      </c>
      <c r="K12" s="153">
        <v>0</v>
      </c>
      <c r="L12" s="153">
        <f t="shared" si="0"/>
        <v>0</v>
      </c>
      <c r="M12" s="165">
        <f t="shared" si="1"/>
        <v>0</v>
      </c>
      <c r="N12" s="125">
        <f t="shared" si="2"/>
        <v>0</v>
      </c>
      <c r="P12" s="57">
        <v>10</v>
      </c>
      <c r="Q12" s="63">
        <f t="shared" si="3"/>
        <v>10</v>
      </c>
      <c r="R12" s="64">
        <f t="shared" si="4"/>
        <v>11.92</v>
      </c>
      <c r="X12" s="181">
        <f t="shared" si="5"/>
        <v>-1316.5639999999999</v>
      </c>
    </row>
    <row r="13" spans="2:24" s="57" customFormat="1" ht="20.100000000000001" customHeight="1">
      <c r="B13" s="65">
        <v>8</v>
      </c>
      <c r="C13" s="104" t="s">
        <v>127</v>
      </c>
      <c r="D13" s="108" t="s">
        <v>128</v>
      </c>
      <c r="E13" s="66" t="s">
        <v>273</v>
      </c>
      <c r="F13" s="114">
        <v>323.5</v>
      </c>
      <c r="G13" s="67">
        <v>1.7949999999999999</v>
      </c>
      <c r="H13" s="118">
        <f t="shared" si="6"/>
        <v>580.6825</v>
      </c>
      <c r="I13" s="61"/>
      <c r="J13" s="153">
        <v>0</v>
      </c>
      <c r="K13" s="153">
        <v>0</v>
      </c>
      <c r="L13" s="153">
        <f t="shared" si="0"/>
        <v>0</v>
      </c>
      <c r="M13" s="165">
        <f t="shared" si="1"/>
        <v>0</v>
      </c>
      <c r="N13" s="125">
        <f t="shared" si="2"/>
        <v>0</v>
      </c>
      <c r="P13" s="57">
        <v>6</v>
      </c>
      <c r="Q13" s="63">
        <f t="shared" si="3"/>
        <v>6</v>
      </c>
      <c r="R13" s="64">
        <f t="shared" si="4"/>
        <v>10.77</v>
      </c>
      <c r="X13" s="181">
        <f t="shared" si="5"/>
        <v>-580.6825</v>
      </c>
    </row>
    <row r="14" spans="2:24" s="57" customFormat="1" ht="20.100000000000001" customHeight="1">
      <c r="B14" s="65">
        <v>9</v>
      </c>
      <c r="C14" s="104" t="s">
        <v>39</v>
      </c>
      <c r="D14" s="108" t="s">
        <v>129</v>
      </c>
      <c r="E14" s="66" t="s">
        <v>273</v>
      </c>
      <c r="F14" s="114">
        <v>3.5</v>
      </c>
      <c r="G14" s="67">
        <v>2.6560000000000001</v>
      </c>
      <c r="H14" s="118">
        <f t="shared" si="6"/>
        <v>9.2960000000000012</v>
      </c>
      <c r="I14" s="61"/>
      <c r="J14" s="153">
        <v>3.5</v>
      </c>
      <c r="K14" s="153">
        <v>0</v>
      </c>
      <c r="L14" s="153">
        <f t="shared" si="0"/>
        <v>3.5</v>
      </c>
      <c r="M14" s="158">
        <f t="shared" si="1"/>
        <v>1</v>
      </c>
      <c r="N14" s="125">
        <f t="shared" si="2"/>
        <v>9.2960000000000012</v>
      </c>
      <c r="P14" s="57">
        <v>12</v>
      </c>
      <c r="Q14" s="63">
        <f t="shared" si="3"/>
        <v>8.5</v>
      </c>
      <c r="R14" s="64">
        <f t="shared" si="4"/>
        <v>31.872</v>
      </c>
      <c r="X14" s="181">
        <f t="shared" si="5"/>
        <v>0</v>
      </c>
    </row>
    <row r="15" spans="2:24" s="57" customFormat="1" ht="20.100000000000001" customHeight="1">
      <c r="B15" s="65">
        <v>10</v>
      </c>
      <c r="C15" s="104" t="s">
        <v>130</v>
      </c>
      <c r="D15" s="108" t="s">
        <v>131</v>
      </c>
      <c r="E15" s="66" t="s">
        <v>273</v>
      </c>
      <c r="F15" s="114">
        <v>1697.5</v>
      </c>
      <c r="G15" s="67">
        <v>1.508</v>
      </c>
      <c r="H15" s="118">
        <f t="shared" si="6"/>
        <v>2559.83</v>
      </c>
      <c r="I15" s="61"/>
      <c r="J15" s="153">
        <v>0</v>
      </c>
      <c r="K15" s="153">
        <v>0</v>
      </c>
      <c r="L15" s="153">
        <f t="shared" si="0"/>
        <v>0</v>
      </c>
      <c r="M15" s="165">
        <f t="shared" si="1"/>
        <v>0</v>
      </c>
      <c r="N15" s="125">
        <f t="shared" si="2"/>
        <v>0</v>
      </c>
      <c r="P15" s="57">
        <v>10</v>
      </c>
      <c r="Q15" s="63">
        <f t="shared" si="3"/>
        <v>10</v>
      </c>
      <c r="R15" s="64">
        <f t="shared" si="4"/>
        <v>15.08</v>
      </c>
      <c r="X15" s="181">
        <f t="shared" si="5"/>
        <v>-2559.83</v>
      </c>
    </row>
    <row r="16" spans="2:24" s="57" customFormat="1" ht="20.100000000000001" customHeight="1">
      <c r="B16" s="65">
        <v>11</v>
      </c>
      <c r="C16" s="104" t="s">
        <v>132</v>
      </c>
      <c r="D16" s="108" t="s">
        <v>133</v>
      </c>
      <c r="E16" s="66" t="s">
        <v>273</v>
      </c>
      <c r="F16" s="114">
        <v>131</v>
      </c>
      <c r="G16" s="67">
        <v>2.1040000000000001</v>
      </c>
      <c r="H16" s="118">
        <f t="shared" si="6"/>
        <v>275.62400000000002</v>
      </c>
      <c r="I16" s="61"/>
      <c r="J16" s="153">
        <v>0</v>
      </c>
      <c r="K16" s="153">
        <v>0</v>
      </c>
      <c r="L16" s="153">
        <f t="shared" si="0"/>
        <v>0</v>
      </c>
      <c r="M16" s="165">
        <f t="shared" si="1"/>
        <v>0</v>
      </c>
      <c r="N16" s="125">
        <f t="shared" si="2"/>
        <v>0</v>
      </c>
      <c r="P16" s="57">
        <v>10</v>
      </c>
      <c r="Q16" s="63">
        <f t="shared" si="3"/>
        <v>10</v>
      </c>
      <c r="R16" s="64">
        <f t="shared" si="4"/>
        <v>21.04</v>
      </c>
      <c r="X16" s="181">
        <f t="shared" si="5"/>
        <v>-275.62400000000002</v>
      </c>
    </row>
    <row r="17" spans="2:24" s="57" customFormat="1" ht="20.100000000000001" customHeight="1">
      <c r="B17" s="65">
        <v>12</v>
      </c>
      <c r="C17" s="104" t="s">
        <v>134</v>
      </c>
      <c r="D17" s="109" t="s">
        <v>135</v>
      </c>
      <c r="E17" s="66" t="s">
        <v>273</v>
      </c>
      <c r="F17" s="114">
        <v>1.5</v>
      </c>
      <c r="G17" s="67">
        <v>2.9430000000000001</v>
      </c>
      <c r="H17" s="118">
        <f t="shared" si="6"/>
        <v>4.4145000000000003</v>
      </c>
      <c r="I17" s="61"/>
      <c r="J17" s="153">
        <v>0</v>
      </c>
      <c r="K17" s="153">
        <v>0</v>
      </c>
      <c r="L17" s="153">
        <f t="shared" si="0"/>
        <v>0</v>
      </c>
      <c r="M17" s="165">
        <f t="shared" si="1"/>
        <v>0</v>
      </c>
      <c r="N17" s="125">
        <f t="shared" si="2"/>
        <v>0</v>
      </c>
      <c r="Q17" s="63">
        <f t="shared" si="3"/>
        <v>0</v>
      </c>
      <c r="R17" s="64">
        <f t="shared" si="4"/>
        <v>0</v>
      </c>
      <c r="X17" s="181">
        <f t="shared" si="5"/>
        <v>-4.4145000000000003</v>
      </c>
    </row>
    <row r="18" spans="2:24" s="57" customFormat="1" ht="20.100000000000001" customHeight="1">
      <c r="B18" s="65">
        <v>13</v>
      </c>
      <c r="C18" s="104" t="s">
        <v>41</v>
      </c>
      <c r="D18" s="109" t="s">
        <v>136</v>
      </c>
      <c r="E18" s="66" t="s">
        <v>273</v>
      </c>
      <c r="F18" s="114">
        <v>2009</v>
      </c>
      <c r="G18" s="67">
        <v>1.579</v>
      </c>
      <c r="H18" s="118">
        <f t="shared" si="6"/>
        <v>3172.2109999999998</v>
      </c>
      <c r="I18" s="61"/>
      <c r="J18" s="153">
        <v>110</v>
      </c>
      <c r="K18" s="153">
        <v>0</v>
      </c>
      <c r="L18" s="153">
        <f t="shared" si="0"/>
        <v>110</v>
      </c>
      <c r="M18" s="168">
        <f t="shared" si="1"/>
        <v>5.4753608760577402E-2</v>
      </c>
      <c r="N18" s="125">
        <f t="shared" si="2"/>
        <v>173.69</v>
      </c>
      <c r="P18" s="57">
        <v>3</v>
      </c>
      <c r="Q18" s="63">
        <f t="shared" si="3"/>
        <v>-107</v>
      </c>
      <c r="R18" s="64">
        <f t="shared" si="4"/>
        <v>4.7370000000000001</v>
      </c>
      <c r="X18" s="181">
        <f t="shared" si="5"/>
        <v>-2998.5209999999997</v>
      </c>
    </row>
    <row r="19" spans="2:24" s="57" customFormat="1" ht="20.100000000000001" customHeight="1">
      <c r="B19" s="65">
        <v>14</v>
      </c>
      <c r="C19" s="104" t="s">
        <v>137</v>
      </c>
      <c r="D19" s="109" t="s">
        <v>138</v>
      </c>
      <c r="E19" s="66" t="s">
        <v>273</v>
      </c>
      <c r="F19" s="114">
        <v>956</v>
      </c>
      <c r="G19" s="67">
        <v>2.44</v>
      </c>
      <c r="H19" s="118">
        <f t="shared" si="6"/>
        <v>2332.64</v>
      </c>
      <c r="I19" s="61"/>
      <c r="J19" s="153">
        <v>0</v>
      </c>
      <c r="K19" s="153">
        <v>0</v>
      </c>
      <c r="L19" s="153">
        <f t="shared" si="0"/>
        <v>0</v>
      </c>
      <c r="M19" s="165">
        <f t="shared" si="1"/>
        <v>0</v>
      </c>
      <c r="N19" s="125">
        <f t="shared" si="2"/>
        <v>0</v>
      </c>
      <c r="P19" s="57">
        <v>8</v>
      </c>
      <c r="Q19" s="63">
        <f t="shared" si="3"/>
        <v>8</v>
      </c>
      <c r="R19" s="64">
        <f t="shared" si="4"/>
        <v>19.52</v>
      </c>
      <c r="X19" s="181">
        <f t="shared" si="5"/>
        <v>-2332.64</v>
      </c>
    </row>
    <row r="20" spans="2:24" s="57" customFormat="1" ht="20.100000000000001" customHeight="1">
      <c r="B20" s="65">
        <v>15</v>
      </c>
      <c r="C20" s="104" t="s">
        <v>54</v>
      </c>
      <c r="D20" s="109" t="s">
        <v>139</v>
      </c>
      <c r="E20" s="66" t="s">
        <v>273</v>
      </c>
      <c r="F20" s="114">
        <v>37.5</v>
      </c>
      <c r="G20" s="67">
        <v>3.302</v>
      </c>
      <c r="H20" s="118">
        <f t="shared" si="6"/>
        <v>123.825</v>
      </c>
      <c r="I20" s="61"/>
      <c r="J20" s="153">
        <v>37.5</v>
      </c>
      <c r="K20" s="153">
        <v>0</v>
      </c>
      <c r="L20" s="153">
        <f t="shared" si="0"/>
        <v>37.5</v>
      </c>
      <c r="M20" s="158">
        <f t="shared" si="1"/>
        <v>1</v>
      </c>
      <c r="N20" s="125">
        <f t="shared" si="2"/>
        <v>123.825</v>
      </c>
      <c r="P20" s="57">
        <v>2</v>
      </c>
      <c r="Q20" s="63">
        <f t="shared" si="3"/>
        <v>-35.5</v>
      </c>
      <c r="R20" s="64">
        <f t="shared" si="4"/>
        <v>6.6040000000000001</v>
      </c>
      <c r="X20" s="181">
        <f t="shared" si="5"/>
        <v>0</v>
      </c>
    </row>
    <row r="21" spans="2:24" s="57" customFormat="1" ht="20.100000000000001" customHeight="1">
      <c r="B21" s="65">
        <v>16</v>
      </c>
      <c r="C21" s="104" t="s">
        <v>140</v>
      </c>
      <c r="D21" s="109" t="s">
        <v>141</v>
      </c>
      <c r="E21" s="66" t="s">
        <v>273</v>
      </c>
      <c r="F21" s="114">
        <v>1.5</v>
      </c>
      <c r="G21" s="67">
        <v>4.2350000000000003</v>
      </c>
      <c r="H21" s="118">
        <f t="shared" si="6"/>
        <v>6.3525000000000009</v>
      </c>
      <c r="I21" s="61"/>
      <c r="J21" s="153">
        <v>0</v>
      </c>
      <c r="K21" s="153">
        <v>0</v>
      </c>
      <c r="L21" s="153">
        <f t="shared" si="0"/>
        <v>0</v>
      </c>
      <c r="M21" s="165">
        <f t="shared" si="1"/>
        <v>0</v>
      </c>
      <c r="N21" s="125">
        <f t="shared" si="2"/>
        <v>0</v>
      </c>
      <c r="P21" s="57">
        <v>4</v>
      </c>
      <c r="Q21" s="63">
        <f t="shared" si="3"/>
        <v>4</v>
      </c>
      <c r="R21" s="64">
        <f t="shared" si="4"/>
        <v>16.940000000000001</v>
      </c>
      <c r="X21" s="181">
        <f t="shared" si="5"/>
        <v>-6.3525000000000009</v>
      </c>
    </row>
    <row r="22" spans="2:24" s="57" customFormat="1" ht="20.100000000000001" customHeight="1">
      <c r="B22" s="65">
        <v>17</v>
      </c>
      <c r="C22" s="104" t="s">
        <v>111</v>
      </c>
      <c r="D22" s="108" t="s">
        <v>142</v>
      </c>
      <c r="E22" s="66" t="s">
        <v>273</v>
      </c>
      <c r="F22" s="114">
        <v>1170.5</v>
      </c>
      <c r="G22" s="67">
        <v>2.1539999999999999</v>
      </c>
      <c r="H22" s="118">
        <f t="shared" si="6"/>
        <v>2521.2570000000001</v>
      </c>
      <c r="I22" s="61"/>
      <c r="J22" s="153">
        <v>575</v>
      </c>
      <c r="K22" s="153">
        <v>0</v>
      </c>
      <c r="L22" s="153">
        <f t="shared" si="0"/>
        <v>575</v>
      </c>
      <c r="M22" s="168">
        <f t="shared" si="1"/>
        <v>0.49124305852199912</v>
      </c>
      <c r="N22" s="125">
        <f t="shared" si="2"/>
        <v>1238.55</v>
      </c>
      <c r="P22" s="57">
        <v>53</v>
      </c>
      <c r="Q22" s="63">
        <f t="shared" si="3"/>
        <v>-522</v>
      </c>
      <c r="R22" s="64">
        <f t="shared" si="4"/>
        <v>114.16199999999999</v>
      </c>
      <c r="X22" s="181">
        <f t="shared" si="5"/>
        <v>-1282.7069999999999</v>
      </c>
    </row>
    <row r="23" spans="2:24" s="57" customFormat="1" ht="20.100000000000001" customHeight="1">
      <c r="B23" s="65">
        <v>18</v>
      </c>
      <c r="C23" s="104" t="s">
        <v>82</v>
      </c>
      <c r="D23" s="108" t="s">
        <v>143</v>
      </c>
      <c r="E23" s="66" t="s">
        <v>273</v>
      </c>
      <c r="F23" s="114">
        <v>620.5</v>
      </c>
      <c r="G23" s="67">
        <v>3.0859999999999999</v>
      </c>
      <c r="H23" s="118">
        <f t="shared" si="6"/>
        <v>1914.8629999999998</v>
      </c>
      <c r="I23" s="61"/>
      <c r="J23" s="153">
        <v>620.5</v>
      </c>
      <c r="K23" s="153">
        <v>0</v>
      </c>
      <c r="L23" s="153">
        <f t="shared" si="0"/>
        <v>620.5</v>
      </c>
      <c r="M23" s="158">
        <f t="shared" si="1"/>
        <v>1</v>
      </c>
      <c r="N23" s="125">
        <f t="shared" si="2"/>
        <v>1914.8629999999998</v>
      </c>
      <c r="P23" s="57">
        <v>6</v>
      </c>
      <c r="Q23" s="63">
        <f t="shared" si="3"/>
        <v>-614.5</v>
      </c>
      <c r="R23" s="64">
        <f t="shared" si="4"/>
        <v>18.515999999999998</v>
      </c>
      <c r="X23" s="181">
        <f t="shared" si="5"/>
        <v>0</v>
      </c>
    </row>
    <row r="24" spans="2:24" s="57" customFormat="1" ht="19.5" customHeight="1">
      <c r="B24" s="65">
        <v>19</v>
      </c>
      <c r="C24" s="104" t="s">
        <v>144</v>
      </c>
      <c r="D24" s="108" t="s">
        <v>145</v>
      </c>
      <c r="E24" s="66" t="s">
        <v>273</v>
      </c>
      <c r="F24" s="150">
        <v>139</v>
      </c>
      <c r="G24" s="67">
        <v>4.0739999999999998</v>
      </c>
      <c r="H24" s="118">
        <f t="shared" si="6"/>
        <v>566.28599999999994</v>
      </c>
      <c r="I24" s="61"/>
      <c r="J24" s="153">
        <v>0</v>
      </c>
      <c r="K24" s="163">
        <v>139</v>
      </c>
      <c r="L24" s="153">
        <f t="shared" si="0"/>
        <v>139</v>
      </c>
      <c r="M24" s="158">
        <f t="shared" si="1"/>
        <v>1</v>
      </c>
      <c r="N24" s="125">
        <f t="shared" si="2"/>
        <v>566.28599999999994</v>
      </c>
      <c r="P24" s="57">
        <v>4</v>
      </c>
      <c r="Q24" s="63">
        <f t="shared" si="3"/>
        <v>4</v>
      </c>
      <c r="R24" s="64">
        <f t="shared" si="4"/>
        <v>16.295999999999999</v>
      </c>
      <c r="X24" s="181">
        <f t="shared" si="5"/>
        <v>0</v>
      </c>
    </row>
    <row r="25" spans="2:24" s="57" customFormat="1" ht="20.100000000000001" customHeight="1">
      <c r="B25" s="65">
        <v>20</v>
      </c>
      <c r="C25" s="104" t="s">
        <v>146</v>
      </c>
      <c r="D25" s="108" t="s">
        <v>147</v>
      </c>
      <c r="E25" s="66" t="s">
        <v>273</v>
      </c>
      <c r="F25" s="114">
        <v>76</v>
      </c>
      <c r="G25" s="67">
        <v>2.496</v>
      </c>
      <c r="H25" s="118">
        <f t="shared" si="6"/>
        <v>189.696</v>
      </c>
      <c r="I25" s="61"/>
      <c r="J25" s="153">
        <v>0</v>
      </c>
      <c r="K25" s="153">
        <v>0</v>
      </c>
      <c r="L25" s="153">
        <f t="shared" si="0"/>
        <v>0</v>
      </c>
      <c r="M25" s="165">
        <f t="shared" si="1"/>
        <v>0</v>
      </c>
      <c r="N25" s="125">
        <f t="shared" si="2"/>
        <v>0</v>
      </c>
      <c r="P25" s="57">
        <v>465</v>
      </c>
      <c r="Q25" s="63">
        <f t="shared" si="3"/>
        <v>465</v>
      </c>
      <c r="R25" s="64">
        <f t="shared" si="4"/>
        <v>1160.6400000000001</v>
      </c>
      <c r="X25" s="181">
        <f t="shared" si="5"/>
        <v>-189.696</v>
      </c>
    </row>
    <row r="26" spans="2:24" s="57" customFormat="1" ht="20.100000000000001" customHeight="1">
      <c r="B26" s="65">
        <v>21</v>
      </c>
      <c r="C26" s="104" t="s">
        <v>148</v>
      </c>
      <c r="D26" s="108" t="s">
        <v>149</v>
      </c>
      <c r="E26" s="66" t="s">
        <v>273</v>
      </c>
      <c r="F26" s="114">
        <v>1020</v>
      </c>
      <c r="G26" s="67">
        <v>3.589</v>
      </c>
      <c r="H26" s="118">
        <f t="shared" si="6"/>
        <v>3660.7799999999997</v>
      </c>
      <c r="I26" s="61"/>
      <c r="J26" s="153">
        <v>0</v>
      </c>
      <c r="K26" s="153">
        <v>0</v>
      </c>
      <c r="L26" s="153">
        <f t="shared" si="0"/>
        <v>0</v>
      </c>
      <c r="M26" s="165">
        <f t="shared" si="1"/>
        <v>0</v>
      </c>
      <c r="N26" s="125">
        <f t="shared" si="2"/>
        <v>0</v>
      </c>
      <c r="P26" s="57">
        <v>97</v>
      </c>
      <c r="Q26" s="63">
        <f t="shared" si="3"/>
        <v>97</v>
      </c>
      <c r="R26" s="64">
        <f t="shared" si="4"/>
        <v>348.13299999999998</v>
      </c>
      <c r="X26" s="181">
        <f t="shared" si="5"/>
        <v>-3660.7799999999997</v>
      </c>
    </row>
    <row r="27" spans="2:24" s="57" customFormat="1" ht="20.100000000000001" customHeight="1">
      <c r="B27" s="65">
        <v>22</v>
      </c>
      <c r="C27" s="104" t="s">
        <v>150</v>
      </c>
      <c r="D27" s="108" t="s">
        <v>151</v>
      </c>
      <c r="E27" s="66" t="s">
        <v>273</v>
      </c>
      <c r="F27" s="114">
        <v>133.5</v>
      </c>
      <c r="G27" s="67">
        <v>4.7370000000000001</v>
      </c>
      <c r="H27" s="118">
        <f t="shared" si="6"/>
        <v>632.3895</v>
      </c>
      <c r="I27" s="61"/>
      <c r="J27" s="153">
        <v>0</v>
      </c>
      <c r="K27" s="153">
        <v>0</v>
      </c>
      <c r="L27" s="153">
        <f t="shared" si="0"/>
        <v>0</v>
      </c>
      <c r="M27" s="165">
        <f t="shared" si="1"/>
        <v>0</v>
      </c>
      <c r="N27" s="125">
        <f t="shared" si="2"/>
        <v>0</v>
      </c>
      <c r="P27" s="57">
        <v>12</v>
      </c>
      <c r="Q27" s="63">
        <f t="shared" si="3"/>
        <v>12</v>
      </c>
      <c r="R27" s="64">
        <f t="shared" si="4"/>
        <v>56.844000000000001</v>
      </c>
      <c r="X27" s="181">
        <f t="shared" si="5"/>
        <v>-632.3895</v>
      </c>
    </row>
    <row r="28" spans="2:24" s="57" customFormat="1" ht="20.100000000000001" customHeight="1">
      <c r="B28" s="65">
        <v>23</v>
      </c>
      <c r="C28" s="104" t="s">
        <v>152</v>
      </c>
      <c r="D28" s="108" t="s">
        <v>153</v>
      </c>
      <c r="E28" s="66" t="s">
        <v>273</v>
      </c>
      <c r="F28" s="114">
        <v>68.5</v>
      </c>
      <c r="G28" s="67">
        <v>5.9560000000000004</v>
      </c>
      <c r="H28" s="118">
        <f t="shared" si="6"/>
        <v>407.98600000000005</v>
      </c>
      <c r="I28" s="61"/>
      <c r="J28" s="153">
        <v>0</v>
      </c>
      <c r="K28" s="153">
        <v>0</v>
      </c>
      <c r="L28" s="153">
        <f t="shared" si="0"/>
        <v>0</v>
      </c>
      <c r="M28" s="165">
        <f t="shared" si="1"/>
        <v>0</v>
      </c>
      <c r="N28" s="125">
        <f t="shared" si="2"/>
        <v>0</v>
      </c>
      <c r="P28" s="57">
        <v>3</v>
      </c>
      <c r="Q28" s="63">
        <f t="shared" si="3"/>
        <v>3</v>
      </c>
      <c r="R28" s="64">
        <f t="shared" si="4"/>
        <v>17.868000000000002</v>
      </c>
      <c r="X28" s="181">
        <f t="shared" si="5"/>
        <v>-407.98600000000005</v>
      </c>
    </row>
    <row r="29" spans="2:24" s="57" customFormat="1" ht="24">
      <c r="B29" s="65">
        <v>24</v>
      </c>
      <c r="C29" s="105" t="s">
        <v>43</v>
      </c>
      <c r="D29" s="110" t="s">
        <v>154</v>
      </c>
      <c r="E29" s="66" t="s">
        <v>273</v>
      </c>
      <c r="F29" s="115">
        <v>132</v>
      </c>
      <c r="G29" s="102">
        <v>3.484</v>
      </c>
      <c r="H29" s="118">
        <f t="shared" si="6"/>
        <v>459.88799999999998</v>
      </c>
      <c r="I29" s="61"/>
      <c r="J29" s="154">
        <v>132</v>
      </c>
      <c r="K29" s="153">
        <v>0</v>
      </c>
      <c r="L29" s="153">
        <f t="shared" si="0"/>
        <v>132</v>
      </c>
      <c r="M29" s="158">
        <f t="shared" si="1"/>
        <v>1</v>
      </c>
      <c r="N29" s="125">
        <f t="shared" si="2"/>
        <v>459.88799999999998</v>
      </c>
      <c r="X29" s="181">
        <f t="shared" si="5"/>
        <v>0</v>
      </c>
    </row>
    <row r="30" spans="2:24" s="57" customFormat="1" ht="20.100000000000001" customHeight="1">
      <c r="B30" s="65">
        <v>25</v>
      </c>
      <c r="C30" s="104" t="s">
        <v>155</v>
      </c>
      <c r="D30" s="108" t="s">
        <v>156</v>
      </c>
      <c r="E30" s="66" t="s">
        <v>273</v>
      </c>
      <c r="F30" s="114">
        <v>1479.5</v>
      </c>
      <c r="G30" s="67">
        <v>4.88</v>
      </c>
      <c r="H30" s="118">
        <f t="shared" si="6"/>
        <v>7219.96</v>
      </c>
      <c r="I30" s="61"/>
      <c r="J30" s="153">
        <v>0</v>
      </c>
      <c r="K30" s="153">
        <v>0</v>
      </c>
      <c r="L30" s="153">
        <f t="shared" si="0"/>
        <v>0</v>
      </c>
      <c r="M30" s="165">
        <f t="shared" si="1"/>
        <v>0</v>
      </c>
      <c r="N30" s="125">
        <f t="shared" si="2"/>
        <v>0</v>
      </c>
      <c r="X30" s="181">
        <f t="shared" si="5"/>
        <v>-7219.96</v>
      </c>
    </row>
    <row r="31" spans="2:24" s="57" customFormat="1" ht="20.100000000000001" customHeight="1">
      <c r="B31" s="65">
        <v>26</v>
      </c>
      <c r="C31" s="104" t="s">
        <v>56</v>
      </c>
      <c r="D31" s="108" t="s">
        <v>157</v>
      </c>
      <c r="E31" s="66" t="s">
        <v>273</v>
      </c>
      <c r="F31" s="114">
        <v>48.5</v>
      </c>
      <c r="G31" s="67">
        <v>6.3150000000000004</v>
      </c>
      <c r="H31" s="118">
        <f t="shared" si="6"/>
        <v>306.27750000000003</v>
      </c>
      <c r="I31" s="61"/>
      <c r="J31" s="153">
        <v>48.5</v>
      </c>
      <c r="K31" s="153">
        <v>0</v>
      </c>
      <c r="L31" s="153">
        <f t="shared" si="0"/>
        <v>48.5</v>
      </c>
      <c r="M31" s="158">
        <f t="shared" si="1"/>
        <v>1</v>
      </c>
      <c r="N31" s="125">
        <f t="shared" si="2"/>
        <v>306.27750000000003</v>
      </c>
      <c r="X31" s="181">
        <f t="shared" si="5"/>
        <v>0</v>
      </c>
    </row>
    <row r="32" spans="2:24" s="57" customFormat="1" ht="24">
      <c r="B32" s="65">
        <v>27</v>
      </c>
      <c r="C32" s="104" t="s">
        <v>29</v>
      </c>
      <c r="D32" s="108" t="s">
        <v>158</v>
      </c>
      <c r="E32" s="66" t="s">
        <v>273</v>
      </c>
      <c r="F32" s="114">
        <v>371</v>
      </c>
      <c r="G32" s="67">
        <v>7.8220000000000001</v>
      </c>
      <c r="H32" s="118">
        <f t="shared" si="6"/>
        <v>2901.962</v>
      </c>
      <c r="I32" s="61"/>
      <c r="J32" s="153">
        <v>371</v>
      </c>
      <c r="K32" s="153">
        <v>0</v>
      </c>
      <c r="L32" s="153">
        <f t="shared" si="0"/>
        <v>371</v>
      </c>
      <c r="M32" s="158">
        <f t="shared" si="1"/>
        <v>1</v>
      </c>
      <c r="N32" s="125">
        <f t="shared" si="2"/>
        <v>2901.962</v>
      </c>
      <c r="X32" s="181">
        <f t="shared" si="5"/>
        <v>0</v>
      </c>
    </row>
    <row r="33" spans="2:24" s="57" customFormat="1" ht="24">
      <c r="B33" s="65">
        <v>28</v>
      </c>
      <c r="C33" s="104" t="s">
        <v>77</v>
      </c>
      <c r="D33" s="108" t="s">
        <v>159</v>
      </c>
      <c r="E33" s="66" t="s">
        <v>273</v>
      </c>
      <c r="F33" s="114">
        <v>440</v>
      </c>
      <c r="G33" s="67">
        <v>9.8320000000000007</v>
      </c>
      <c r="H33" s="118">
        <f t="shared" si="6"/>
        <v>4326.08</v>
      </c>
      <c r="I33" s="61"/>
      <c r="J33" s="153">
        <v>430</v>
      </c>
      <c r="K33" s="153">
        <v>0</v>
      </c>
      <c r="L33" s="153">
        <f t="shared" si="0"/>
        <v>430</v>
      </c>
      <c r="M33" s="168">
        <f t="shared" si="1"/>
        <v>0.97727272727272729</v>
      </c>
      <c r="N33" s="125">
        <f t="shared" si="2"/>
        <v>4227.76</v>
      </c>
      <c r="X33" s="181">
        <f t="shared" si="5"/>
        <v>-98.320000000000007</v>
      </c>
    </row>
    <row r="34" spans="2:24" s="57" customFormat="1" ht="20.100000000000001" customHeight="1">
      <c r="B34" s="65">
        <v>29</v>
      </c>
      <c r="C34" s="104" t="s">
        <v>160</v>
      </c>
      <c r="D34" s="108" t="s">
        <v>161</v>
      </c>
      <c r="E34" s="66" t="s">
        <v>273</v>
      </c>
      <c r="F34" s="114">
        <v>128</v>
      </c>
      <c r="G34" s="67">
        <v>6.3150000000000004</v>
      </c>
      <c r="H34" s="118">
        <f t="shared" si="6"/>
        <v>808.32</v>
      </c>
      <c r="I34" s="61"/>
      <c r="J34" s="153">
        <v>0</v>
      </c>
      <c r="K34" s="153">
        <v>0</v>
      </c>
      <c r="L34" s="153">
        <f t="shared" si="0"/>
        <v>0</v>
      </c>
      <c r="M34" s="165">
        <f t="shared" si="1"/>
        <v>0</v>
      </c>
      <c r="N34" s="125">
        <f t="shared" si="2"/>
        <v>0</v>
      </c>
      <c r="X34" s="181">
        <f t="shared" si="5"/>
        <v>-808.32</v>
      </c>
    </row>
    <row r="35" spans="2:24" s="57" customFormat="1" ht="43.5">
      <c r="B35" s="65">
        <v>30</v>
      </c>
      <c r="C35" s="104" t="s">
        <v>186</v>
      </c>
      <c r="D35" s="108" t="s">
        <v>187</v>
      </c>
      <c r="E35" s="66" t="s">
        <v>274</v>
      </c>
      <c r="F35" s="150">
        <v>132</v>
      </c>
      <c r="G35" s="67">
        <v>15.891999999999999</v>
      </c>
      <c r="H35" s="118">
        <f t="shared" si="6"/>
        <v>2097.7440000000001</v>
      </c>
      <c r="I35" s="61"/>
      <c r="J35" s="153">
        <v>0</v>
      </c>
      <c r="K35" s="153">
        <v>132</v>
      </c>
      <c r="L35" s="153">
        <f t="shared" si="0"/>
        <v>132</v>
      </c>
      <c r="M35" s="158">
        <f t="shared" si="1"/>
        <v>1</v>
      </c>
      <c r="N35" s="125">
        <f t="shared" si="2"/>
        <v>2097.7440000000001</v>
      </c>
      <c r="X35" s="181">
        <f t="shared" si="5"/>
        <v>0</v>
      </c>
    </row>
    <row r="36" spans="2:24" s="57" customFormat="1" ht="20.100000000000001" customHeight="1">
      <c r="B36" s="65">
        <v>31</v>
      </c>
      <c r="C36" s="104" t="s">
        <v>162</v>
      </c>
      <c r="D36" s="108" t="s">
        <v>163</v>
      </c>
      <c r="E36" s="66" t="s">
        <v>273</v>
      </c>
      <c r="F36" s="114">
        <v>10</v>
      </c>
      <c r="G36" s="67">
        <v>4.3390000000000004</v>
      </c>
      <c r="H36" s="118">
        <f t="shared" si="6"/>
        <v>43.39</v>
      </c>
      <c r="I36" s="61"/>
      <c r="J36" s="153">
        <v>0</v>
      </c>
      <c r="K36" s="153">
        <v>0</v>
      </c>
      <c r="L36" s="153">
        <f t="shared" si="0"/>
        <v>0</v>
      </c>
      <c r="M36" s="165">
        <f t="shared" si="1"/>
        <v>0</v>
      </c>
      <c r="N36" s="125">
        <f t="shared" si="2"/>
        <v>0</v>
      </c>
      <c r="X36" s="181">
        <f t="shared" si="5"/>
        <v>-43.39</v>
      </c>
    </row>
    <row r="37" spans="2:24" s="57" customFormat="1" ht="24">
      <c r="B37" s="65">
        <v>32</v>
      </c>
      <c r="C37" s="104" t="s">
        <v>58</v>
      </c>
      <c r="D37" s="108" t="s">
        <v>164</v>
      </c>
      <c r="E37" s="66" t="s">
        <v>273</v>
      </c>
      <c r="F37" s="114">
        <v>178.5</v>
      </c>
      <c r="G37" s="67">
        <v>7.7510000000000003</v>
      </c>
      <c r="H37" s="118">
        <f t="shared" si="6"/>
        <v>1383.5535</v>
      </c>
      <c r="I37" s="61"/>
      <c r="J37" s="153">
        <v>84</v>
      </c>
      <c r="K37" s="153">
        <v>0</v>
      </c>
      <c r="L37" s="153">
        <f t="shared" si="0"/>
        <v>84</v>
      </c>
      <c r="M37" s="168">
        <f t="shared" si="1"/>
        <v>0.47058823529411764</v>
      </c>
      <c r="N37" s="125">
        <f t="shared" si="2"/>
        <v>651.08400000000006</v>
      </c>
      <c r="X37" s="181">
        <f t="shared" si="5"/>
        <v>-732.46950000000004</v>
      </c>
    </row>
    <row r="38" spans="2:24" s="57" customFormat="1" ht="20.100000000000001" customHeight="1">
      <c r="B38" s="65">
        <v>33</v>
      </c>
      <c r="C38" s="104" t="s">
        <v>165</v>
      </c>
      <c r="D38" s="108" t="s">
        <v>166</v>
      </c>
      <c r="E38" s="66" t="s">
        <v>273</v>
      </c>
      <c r="F38" s="114">
        <v>348</v>
      </c>
      <c r="G38" s="67">
        <v>9.4719999999999995</v>
      </c>
      <c r="H38" s="118">
        <f t="shared" si="6"/>
        <v>3296.2559999999999</v>
      </c>
      <c r="I38" s="61"/>
      <c r="J38" s="153">
        <v>0</v>
      </c>
      <c r="K38" s="153">
        <v>0</v>
      </c>
      <c r="L38" s="153">
        <f t="shared" ref="L38:L69" si="7">SUM(J38:K38)</f>
        <v>0</v>
      </c>
      <c r="M38" s="165">
        <f t="shared" ref="M38:M69" si="8">L38/F38</f>
        <v>0</v>
      </c>
      <c r="N38" s="125">
        <f t="shared" ref="N38:N69" si="9">L38*G38</f>
        <v>0</v>
      </c>
      <c r="X38" s="181">
        <f t="shared" si="5"/>
        <v>-3296.2559999999999</v>
      </c>
    </row>
    <row r="39" spans="2:24" s="57" customFormat="1" ht="20.100000000000001" customHeight="1">
      <c r="B39" s="65">
        <v>34</v>
      </c>
      <c r="C39" s="104" t="s">
        <v>167</v>
      </c>
      <c r="D39" s="108" t="s">
        <v>168</v>
      </c>
      <c r="E39" s="66" t="s">
        <v>273</v>
      </c>
      <c r="F39" s="114">
        <v>238</v>
      </c>
      <c r="G39" s="67">
        <v>11.553000000000001</v>
      </c>
      <c r="H39" s="118">
        <f t="shared" si="6"/>
        <v>2749.614</v>
      </c>
      <c r="I39" s="61"/>
      <c r="J39" s="153">
        <v>0</v>
      </c>
      <c r="K39" s="153">
        <v>0</v>
      </c>
      <c r="L39" s="153">
        <f t="shared" si="7"/>
        <v>0</v>
      </c>
      <c r="M39" s="165">
        <f t="shared" si="8"/>
        <v>0</v>
      </c>
      <c r="N39" s="125">
        <f t="shared" si="9"/>
        <v>0</v>
      </c>
      <c r="X39" s="181">
        <f t="shared" si="5"/>
        <v>-2749.614</v>
      </c>
    </row>
    <row r="40" spans="2:24" s="57" customFormat="1" ht="20.100000000000001" customHeight="1">
      <c r="B40" s="65">
        <v>35</v>
      </c>
      <c r="C40" s="104" t="s">
        <v>169</v>
      </c>
      <c r="D40" s="108" t="s">
        <v>170</v>
      </c>
      <c r="E40" s="66" t="s">
        <v>273</v>
      </c>
      <c r="F40" s="114">
        <v>187</v>
      </c>
      <c r="G40" s="67">
        <v>7.7510000000000003</v>
      </c>
      <c r="H40" s="118">
        <f t="shared" si="6"/>
        <v>1449.4370000000001</v>
      </c>
      <c r="I40" s="61"/>
      <c r="J40" s="153">
        <v>0</v>
      </c>
      <c r="K40" s="153">
        <v>0</v>
      </c>
      <c r="L40" s="153">
        <f t="shared" si="7"/>
        <v>0</v>
      </c>
      <c r="M40" s="165">
        <f t="shared" si="8"/>
        <v>0</v>
      </c>
      <c r="N40" s="125">
        <f t="shared" si="9"/>
        <v>0</v>
      </c>
      <c r="X40" s="181">
        <f t="shared" si="5"/>
        <v>-1449.4370000000001</v>
      </c>
    </row>
    <row r="41" spans="2:24" s="57" customFormat="1" ht="20.100000000000001" customHeight="1">
      <c r="B41" s="65">
        <v>36</v>
      </c>
      <c r="C41" s="104" t="s">
        <v>186</v>
      </c>
      <c r="D41" s="108" t="s">
        <v>187</v>
      </c>
      <c r="E41" s="66" t="s">
        <v>274</v>
      </c>
      <c r="F41" s="150">
        <v>223</v>
      </c>
      <c r="G41" s="67">
        <v>15.891999999999999</v>
      </c>
      <c r="H41" s="118">
        <f t="shared" si="6"/>
        <v>3543.9159999999997</v>
      </c>
      <c r="I41" s="61"/>
      <c r="J41" s="153">
        <v>0</v>
      </c>
      <c r="K41" s="153">
        <v>223</v>
      </c>
      <c r="L41" s="153">
        <f t="shared" si="7"/>
        <v>223</v>
      </c>
      <c r="M41" s="158">
        <f t="shared" si="8"/>
        <v>1</v>
      </c>
      <c r="N41" s="125">
        <f t="shared" si="9"/>
        <v>3543.9159999999997</v>
      </c>
      <c r="X41" s="181">
        <f t="shared" si="5"/>
        <v>0</v>
      </c>
    </row>
    <row r="42" spans="2:24" s="57" customFormat="1" ht="20.100000000000001" customHeight="1">
      <c r="B42" s="65">
        <v>37</v>
      </c>
      <c r="C42" s="104" t="s">
        <v>171</v>
      </c>
      <c r="D42" s="108" t="s">
        <v>172</v>
      </c>
      <c r="E42" s="66" t="s">
        <v>273</v>
      </c>
      <c r="F42" s="114">
        <v>40</v>
      </c>
      <c r="G42" s="67">
        <v>5.1340000000000003</v>
      </c>
      <c r="H42" s="118">
        <f t="shared" si="6"/>
        <v>205.36</v>
      </c>
      <c r="I42" s="61"/>
      <c r="J42" s="153">
        <v>0</v>
      </c>
      <c r="K42" s="153">
        <v>0</v>
      </c>
      <c r="L42" s="153">
        <f t="shared" si="7"/>
        <v>0</v>
      </c>
      <c r="M42" s="165">
        <f t="shared" si="8"/>
        <v>0</v>
      </c>
      <c r="N42" s="125">
        <f t="shared" si="9"/>
        <v>0</v>
      </c>
      <c r="X42" s="181">
        <f t="shared" si="5"/>
        <v>-205.36</v>
      </c>
    </row>
    <row r="43" spans="2:24" s="57" customFormat="1" ht="20.100000000000001" customHeight="1">
      <c r="B43" s="65">
        <v>38</v>
      </c>
      <c r="C43" s="104" t="s">
        <v>173</v>
      </c>
      <c r="D43" s="108" t="s">
        <v>174</v>
      </c>
      <c r="E43" s="66" t="s">
        <v>273</v>
      </c>
      <c r="F43" s="114">
        <v>102.5</v>
      </c>
      <c r="G43" s="67">
        <v>9.3290000000000006</v>
      </c>
      <c r="H43" s="118">
        <f t="shared" si="6"/>
        <v>956.22250000000008</v>
      </c>
      <c r="I43" s="61"/>
      <c r="J43" s="153">
        <v>0</v>
      </c>
      <c r="K43" s="153">
        <v>0</v>
      </c>
      <c r="L43" s="153">
        <f t="shared" si="7"/>
        <v>0</v>
      </c>
      <c r="M43" s="165">
        <f t="shared" si="8"/>
        <v>0</v>
      </c>
      <c r="N43" s="125">
        <f t="shared" si="9"/>
        <v>0</v>
      </c>
      <c r="X43" s="181">
        <f t="shared" si="5"/>
        <v>-956.22250000000008</v>
      </c>
    </row>
    <row r="44" spans="2:24" s="57" customFormat="1" ht="20.100000000000001" customHeight="1">
      <c r="B44" s="65">
        <v>39</v>
      </c>
      <c r="C44" s="104" t="s">
        <v>175</v>
      </c>
      <c r="D44" s="108" t="s">
        <v>176</v>
      </c>
      <c r="E44" s="66" t="s">
        <v>273</v>
      </c>
      <c r="F44" s="150">
        <v>573.5</v>
      </c>
      <c r="G44" s="67">
        <v>11.266999999999999</v>
      </c>
      <c r="H44" s="118">
        <f t="shared" si="6"/>
        <v>6461.6244999999999</v>
      </c>
      <c r="I44" s="61"/>
      <c r="J44" s="153">
        <v>0</v>
      </c>
      <c r="K44" s="163">
        <v>155</v>
      </c>
      <c r="L44" s="153">
        <f t="shared" si="7"/>
        <v>155</v>
      </c>
      <c r="M44" s="168">
        <f t="shared" si="8"/>
        <v>0.27027027027027029</v>
      </c>
      <c r="N44" s="125">
        <f t="shared" si="9"/>
        <v>1746.385</v>
      </c>
      <c r="X44" s="181">
        <f t="shared" si="5"/>
        <v>-4715.2394999999997</v>
      </c>
    </row>
    <row r="45" spans="2:24" s="57" customFormat="1" ht="20.100000000000001" customHeight="1">
      <c r="B45" s="65">
        <v>40</v>
      </c>
      <c r="C45" s="104" t="s">
        <v>71</v>
      </c>
      <c r="D45" s="108" t="s">
        <v>177</v>
      </c>
      <c r="E45" s="66" t="s">
        <v>273</v>
      </c>
      <c r="F45" s="114">
        <v>216</v>
      </c>
      <c r="G45" s="67">
        <v>13.634</v>
      </c>
      <c r="H45" s="118">
        <f t="shared" si="6"/>
        <v>2944.944</v>
      </c>
      <c r="I45" s="61"/>
      <c r="J45" s="153">
        <v>216</v>
      </c>
      <c r="K45" s="153">
        <v>0</v>
      </c>
      <c r="L45" s="153">
        <f t="shared" si="7"/>
        <v>216</v>
      </c>
      <c r="M45" s="158">
        <f t="shared" si="8"/>
        <v>1</v>
      </c>
      <c r="N45" s="125">
        <f t="shared" si="9"/>
        <v>2944.944</v>
      </c>
      <c r="X45" s="181">
        <f t="shared" si="5"/>
        <v>0</v>
      </c>
    </row>
    <row r="46" spans="2:24" s="57" customFormat="1" ht="20.100000000000001" customHeight="1">
      <c r="B46" s="65">
        <v>41</v>
      </c>
      <c r="C46" s="106" t="s">
        <v>178</v>
      </c>
      <c r="D46" s="111" t="s">
        <v>179</v>
      </c>
      <c r="E46" s="66" t="s">
        <v>273</v>
      </c>
      <c r="F46" s="116">
        <v>241</v>
      </c>
      <c r="G46" s="101">
        <v>9.3290000000000006</v>
      </c>
      <c r="H46" s="118">
        <f t="shared" si="6"/>
        <v>2248.2890000000002</v>
      </c>
      <c r="I46" s="61"/>
      <c r="J46" s="155">
        <v>0</v>
      </c>
      <c r="K46" s="153">
        <v>0</v>
      </c>
      <c r="L46" s="153">
        <f t="shared" si="7"/>
        <v>0</v>
      </c>
      <c r="M46" s="165">
        <f t="shared" si="8"/>
        <v>0</v>
      </c>
      <c r="N46" s="125">
        <f t="shared" si="9"/>
        <v>0</v>
      </c>
      <c r="X46" s="181">
        <f t="shared" si="5"/>
        <v>-2248.2890000000002</v>
      </c>
    </row>
    <row r="47" spans="2:24" s="57" customFormat="1" ht="20.100000000000001" customHeight="1">
      <c r="B47" s="65">
        <v>42</v>
      </c>
      <c r="C47" s="106" t="s">
        <v>186</v>
      </c>
      <c r="D47" s="111" t="s">
        <v>187</v>
      </c>
      <c r="E47" s="66" t="s">
        <v>274</v>
      </c>
      <c r="F47" s="151">
        <v>328</v>
      </c>
      <c r="G47" s="101">
        <v>15.891999999999999</v>
      </c>
      <c r="H47" s="118">
        <f t="shared" si="6"/>
        <v>5212.576</v>
      </c>
      <c r="I47" s="61"/>
      <c r="J47" s="155">
        <v>0</v>
      </c>
      <c r="K47" s="155">
        <v>328</v>
      </c>
      <c r="L47" s="153">
        <f t="shared" si="7"/>
        <v>328</v>
      </c>
      <c r="M47" s="158">
        <f t="shared" si="8"/>
        <v>1</v>
      </c>
      <c r="N47" s="125">
        <f t="shared" si="9"/>
        <v>5212.576</v>
      </c>
      <c r="X47" s="181">
        <f t="shared" si="5"/>
        <v>0</v>
      </c>
    </row>
    <row r="48" spans="2:24" s="57" customFormat="1" ht="20.100000000000001" customHeight="1">
      <c r="B48" s="65">
        <v>43</v>
      </c>
      <c r="C48" s="106" t="s">
        <v>180</v>
      </c>
      <c r="D48" s="111" t="s">
        <v>181</v>
      </c>
      <c r="E48" s="66" t="s">
        <v>273</v>
      </c>
      <c r="F48" s="116">
        <v>177.5</v>
      </c>
      <c r="G48" s="101">
        <v>9.3290000000000006</v>
      </c>
      <c r="H48" s="118">
        <f t="shared" si="6"/>
        <v>1655.8975</v>
      </c>
      <c r="I48" s="61"/>
      <c r="J48" s="155">
        <v>0</v>
      </c>
      <c r="K48" s="153">
        <v>0</v>
      </c>
      <c r="L48" s="153">
        <f t="shared" si="7"/>
        <v>0</v>
      </c>
      <c r="M48" s="165">
        <f t="shared" si="8"/>
        <v>0</v>
      </c>
      <c r="N48" s="125">
        <f t="shared" si="9"/>
        <v>0</v>
      </c>
      <c r="X48" s="181">
        <f t="shared" si="5"/>
        <v>-1655.8975</v>
      </c>
    </row>
    <row r="49" spans="2:24" s="57" customFormat="1" ht="20.100000000000001" customHeight="1">
      <c r="B49" s="65">
        <v>44</v>
      </c>
      <c r="C49" s="106" t="s">
        <v>290</v>
      </c>
      <c r="D49" s="111" t="s">
        <v>231</v>
      </c>
      <c r="E49" s="66" t="s">
        <v>274</v>
      </c>
      <c r="F49" s="116">
        <v>253</v>
      </c>
      <c r="G49" s="101">
        <v>16.7</v>
      </c>
      <c r="H49" s="118">
        <f t="shared" si="6"/>
        <v>4225.0999999999995</v>
      </c>
      <c r="I49" s="61"/>
      <c r="J49" s="155">
        <v>0</v>
      </c>
      <c r="K49" s="155">
        <v>253</v>
      </c>
      <c r="L49" s="153">
        <f t="shared" si="7"/>
        <v>253</v>
      </c>
      <c r="M49" s="158">
        <f t="shared" si="8"/>
        <v>1</v>
      </c>
      <c r="N49" s="125">
        <f t="shared" si="9"/>
        <v>4225.0999999999995</v>
      </c>
      <c r="X49" s="181">
        <f t="shared" si="5"/>
        <v>0</v>
      </c>
    </row>
    <row r="50" spans="2:24" s="57" customFormat="1" ht="20.100000000000001" customHeight="1">
      <c r="B50" s="65">
        <v>45</v>
      </c>
      <c r="C50" s="106" t="s">
        <v>182</v>
      </c>
      <c r="D50" s="111" t="s">
        <v>183</v>
      </c>
      <c r="E50" s="66" t="s">
        <v>273</v>
      </c>
      <c r="F50" s="116">
        <v>1.1000000000000001</v>
      </c>
      <c r="G50" s="101">
        <v>10.888</v>
      </c>
      <c r="H50" s="118">
        <f t="shared" si="6"/>
        <v>11.976800000000001</v>
      </c>
      <c r="I50" s="61"/>
      <c r="J50" s="155">
        <v>0</v>
      </c>
      <c r="K50" s="155">
        <v>1.1000000000000001</v>
      </c>
      <c r="L50" s="153">
        <f t="shared" si="7"/>
        <v>1.1000000000000001</v>
      </c>
      <c r="M50" s="158">
        <f t="shared" si="8"/>
        <v>1</v>
      </c>
      <c r="N50" s="125">
        <f t="shared" si="9"/>
        <v>11.976800000000001</v>
      </c>
      <c r="X50" s="181">
        <f t="shared" si="5"/>
        <v>0</v>
      </c>
    </row>
    <row r="51" spans="2:24" s="57" customFormat="1" ht="20.100000000000001" customHeight="1">
      <c r="B51" s="65">
        <v>46</v>
      </c>
      <c r="C51" s="106" t="s">
        <v>184</v>
      </c>
      <c r="D51" s="111" t="s">
        <v>185</v>
      </c>
      <c r="E51" s="66" t="s">
        <v>273</v>
      </c>
      <c r="F51" s="116">
        <v>5.5</v>
      </c>
      <c r="G51" s="101">
        <v>7.8010000000000002</v>
      </c>
      <c r="H51" s="118">
        <f t="shared" si="6"/>
        <v>42.905500000000004</v>
      </c>
      <c r="I51" s="61"/>
      <c r="J51" s="155">
        <v>0</v>
      </c>
      <c r="K51" s="155">
        <v>5.5</v>
      </c>
      <c r="L51" s="153">
        <f t="shared" si="7"/>
        <v>5.5</v>
      </c>
      <c r="M51" s="158">
        <f t="shared" si="8"/>
        <v>1</v>
      </c>
      <c r="N51" s="125">
        <f t="shared" si="9"/>
        <v>42.905500000000004</v>
      </c>
      <c r="X51" s="181">
        <f t="shared" si="5"/>
        <v>0</v>
      </c>
    </row>
    <row r="52" spans="2:24" s="57" customFormat="1" ht="20.100000000000001" customHeight="1">
      <c r="B52" s="65">
        <v>47</v>
      </c>
      <c r="C52" s="106" t="s">
        <v>186</v>
      </c>
      <c r="D52" s="111" t="s">
        <v>187</v>
      </c>
      <c r="E52" s="66" t="s">
        <v>274</v>
      </c>
      <c r="F52" s="151">
        <v>87.78</v>
      </c>
      <c r="G52" s="101">
        <v>15.891999999999999</v>
      </c>
      <c r="H52" s="118">
        <f t="shared" si="6"/>
        <v>1394.9997599999999</v>
      </c>
      <c r="I52" s="61"/>
      <c r="J52" s="155">
        <v>0</v>
      </c>
      <c r="K52" s="155">
        <v>87.78</v>
      </c>
      <c r="L52" s="153">
        <f t="shared" si="7"/>
        <v>87.78</v>
      </c>
      <c r="M52" s="158">
        <f t="shared" si="8"/>
        <v>1</v>
      </c>
      <c r="N52" s="125">
        <f t="shared" si="9"/>
        <v>1394.9997599999999</v>
      </c>
      <c r="X52" s="181">
        <f t="shared" si="5"/>
        <v>0</v>
      </c>
    </row>
    <row r="53" spans="2:24" s="57" customFormat="1" ht="20.100000000000001" customHeight="1">
      <c r="B53" s="65">
        <v>48</v>
      </c>
      <c r="C53" s="106" t="s">
        <v>188</v>
      </c>
      <c r="D53" s="111" t="s">
        <v>189</v>
      </c>
      <c r="E53" s="66" t="s">
        <v>274</v>
      </c>
      <c r="F53" s="151">
        <v>1007.6</v>
      </c>
      <c r="G53" s="101">
        <v>17.507999999999999</v>
      </c>
      <c r="H53" s="118">
        <f t="shared" si="6"/>
        <v>17641.060799999999</v>
      </c>
      <c r="I53" s="61"/>
      <c r="J53" s="155">
        <v>0</v>
      </c>
      <c r="K53" s="155">
        <f>240+997.5</f>
        <v>1237.5</v>
      </c>
      <c r="L53" s="153">
        <f t="shared" si="7"/>
        <v>1237.5</v>
      </c>
      <c r="M53" s="168">
        <f t="shared" si="8"/>
        <v>1.2281659388646289</v>
      </c>
      <c r="N53" s="125">
        <f t="shared" si="9"/>
        <v>21666.149999999998</v>
      </c>
      <c r="X53" s="181">
        <f t="shared" si="5"/>
        <v>4025.0891999999994</v>
      </c>
    </row>
    <row r="54" spans="2:24" s="57" customFormat="1" ht="20.100000000000001" customHeight="1">
      <c r="B54" s="65">
        <v>49</v>
      </c>
      <c r="C54" s="106" t="s">
        <v>190</v>
      </c>
      <c r="D54" s="111" t="s">
        <v>191</v>
      </c>
      <c r="E54" s="66" t="s">
        <v>274</v>
      </c>
      <c r="F54" s="116">
        <v>1310.0999999999999</v>
      </c>
      <c r="G54" s="101">
        <v>18.315999999999999</v>
      </c>
      <c r="H54" s="118">
        <f t="shared" si="6"/>
        <v>23995.791599999997</v>
      </c>
      <c r="I54" s="61"/>
      <c r="J54" s="155">
        <v>0</v>
      </c>
      <c r="K54" s="155">
        <f>864+446.1</f>
        <v>1310.0999999999999</v>
      </c>
      <c r="L54" s="153">
        <f t="shared" si="7"/>
        <v>1310.0999999999999</v>
      </c>
      <c r="M54" s="158">
        <f t="shared" si="8"/>
        <v>1</v>
      </c>
      <c r="N54" s="125">
        <f t="shared" si="9"/>
        <v>23995.791599999997</v>
      </c>
      <c r="X54" s="181">
        <f t="shared" si="5"/>
        <v>0</v>
      </c>
    </row>
    <row r="55" spans="2:24" s="57" customFormat="1" ht="20.100000000000001" customHeight="1">
      <c r="B55" s="65">
        <v>50</v>
      </c>
      <c r="C55" s="106" t="s">
        <v>192</v>
      </c>
      <c r="D55" s="111" t="s">
        <v>193</v>
      </c>
      <c r="E55" s="66" t="s">
        <v>274</v>
      </c>
      <c r="F55" s="151">
        <v>1243</v>
      </c>
      <c r="G55" s="101">
        <v>19.123999999999999</v>
      </c>
      <c r="H55" s="118">
        <f t="shared" si="6"/>
        <v>23771.131999999998</v>
      </c>
      <c r="I55" s="61"/>
      <c r="J55" s="155">
        <v>0</v>
      </c>
      <c r="K55" s="155">
        <f>100.8+307.2+187+648</f>
        <v>1243</v>
      </c>
      <c r="L55" s="153">
        <f t="shared" si="7"/>
        <v>1243</v>
      </c>
      <c r="M55" s="158">
        <f t="shared" si="8"/>
        <v>1</v>
      </c>
      <c r="N55" s="125">
        <f t="shared" si="9"/>
        <v>23771.131999999998</v>
      </c>
      <c r="X55" s="181">
        <f t="shared" si="5"/>
        <v>0</v>
      </c>
    </row>
    <row r="56" spans="2:24" s="57" customFormat="1" ht="20.100000000000001" customHeight="1">
      <c r="B56" s="65">
        <v>51</v>
      </c>
      <c r="C56" s="106" t="s">
        <v>194</v>
      </c>
      <c r="D56" s="111" t="s">
        <v>195</v>
      </c>
      <c r="E56" s="66" t="s">
        <v>274</v>
      </c>
      <c r="F56" s="116">
        <v>403.7</v>
      </c>
      <c r="G56" s="101">
        <v>19.931999999999999</v>
      </c>
      <c r="H56" s="118">
        <f t="shared" si="6"/>
        <v>8046.5483999999988</v>
      </c>
      <c r="I56" s="61"/>
      <c r="J56" s="155">
        <v>0</v>
      </c>
      <c r="K56" s="155">
        <v>403.7</v>
      </c>
      <c r="L56" s="153">
        <f t="shared" si="7"/>
        <v>403.7</v>
      </c>
      <c r="M56" s="158">
        <f t="shared" si="8"/>
        <v>1</v>
      </c>
      <c r="N56" s="125">
        <f t="shared" si="9"/>
        <v>8046.5483999999988</v>
      </c>
      <c r="X56" s="181">
        <f t="shared" si="5"/>
        <v>0</v>
      </c>
    </row>
    <row r="57" spans="2:24" s="57" customFormat="1" ht="20.100000000000001" customHeight="1">
      <c r="B57" s="65">
        <v>52</v>
      </c>
      <c r="C57" s="106" t="s">
        <v>196</v>
      </c>
      <c r="D57" s="111" t="s">
        <v>197</v>
      </c>
      <c r="E57" s="66" t="s">
        <v>274</v>
      </c>
      <c r="F57" s="116">
        <v>822.8</v>
      </c>
      <c r="G57" s="101">
        <v>20.74</v>
      </c>
      <c r="H57" s="118">
        <f t="shared" si="6"/>
        <v>17064.871999999999</v>
      </c>
      <c r="I57" s="61"/>
      <c r="J57" s="155">
        <v>0</v>
      </c>
      <c r="K57" s="155">
        <f>648+174.84-0.04</f>
        <v>822.80000000000007</v>
      </c>
      <c r="L57" s="153">
        <f t="shared" si="7"/>
        <v>822.80000000000007</v>
      </c>
      <c r="M57" s="158">
        <f t="shared" si="8"/>
        <v>1.0000000000000002</v>
      </c>
      <c r="N57" s="125">
        <f t="shared" si="9"/>
        <v>17064.871999999999</v>
      </c>
      <c r="X57" s="181">
        <f t="shared" si="5"/>
        <v>2.3578650143463163E-12</v>
      </c>
    </row>
    <row r="58" spans="2:24" s="57" customFormat="1" ht="20.100000000000001" customHeight="1">
      <c r="B58" s="65">
        <v>53</v>
      </c>
      <c r="C58" s="106" t="s">
        <v>198</v>
      </c>
      <c r="D58" s="111" t="s">
        <v>199</v>
      </c>
      <c r="E58" s="66" t="s">
        <v>274</v>
      </c>
      <c r="F58" s="116">
        <v>11.88</v>
      </c>
      <c r="G58" s="101">
        <v>21.547999999999998</v>
      </c>
      <c r="H58" s="118">
        <f t="shared" si="6"/>
        <v>255.99024</v>
      </c>
      <c r="I58" s="61"/>
      <c r="J58" s="155">
        <v>0</v>
      </c>
      <c r="K58" s="155">
        <v>11.88</v>
      </c>
      <c r="L58" s="153">
        <f t="shared" si="7"/>
        <v>11.88</v>
      </c>
      <c r="M58" s="158">
        <f t="shared" si="8"/>
        <v>1</v>
      </c>
      <c r="N58" s="125">
        <f t="shared" si="9"/>
        <v>255.99024</v>
      </c>
      <c r="X58" s="181">
        <f t="shared" si="5"/>
        <v>0</v>
      </c>
    </row>
    <row r="59" spans="2:24" s="57" customFormat="1" ht="20.100000000000001" customHeight="1">
      <c r="B59" s="65">
        <v>54</v>
      </c>
      <c r="C59" s="106" t="s">
        <v>200</v>
      </c>
      <c r="D59" s="111" t="s">
        <v>201</v>
      </c>
      <c r="E59" s="66" t="s">
        <v>274</v>
      </c>
      <c r="F59" s="116">
        <v>229.9</v>
      </c>
      <c r="G59" s="101">
        <v>17.507999999999999</v>
      </c>
      <c r="H59" s="118">
        <f t="shared" si="6"/>
        <v>4025.0891999999999</v>
      </c>
      <c r="I59" s="61"/>
      <c r="J59" s="155">
        <v>0</v>
      </c>
      <c r="K59" s="153">
        <v>0</v>
      </c>
      <c r="L59" s="153">
        <f t="shared" si="7"/>
        <v>0</v>
      </c>
      <c r="M59" s="165">
        <f t="shared" si="8"/>
        <v>0</v>
      </c>
      <c r="N59" s="125">
        <f t="shared" si="9"/>
        <v>0</v>
      </c>
      <c r="X59" s="181">
        <f t="shared" si="5"/>
        <v>-4025.0891999999999</v>
      </c>
    </row>
    <row r="60" spans="2:24" s="57" customFormat="1" ht="20.100000000000001" customHeight="1">
      <c r="B60" s="65">
        <v>55</v>
      </c>
      <c r="C60" s="106" t="s">
        <v>190</v>
      </c>
      <c r="D60" s="111" t="s">
        <v>191</v>
      </c>
      <c r="E60" s="66" t="s">
        <v>274</v>
      </c>
      <c r="F60" s="116">
        <v>229.9</v>
      </c>
      <c r="G60" s="101">
        <v>18.315999999999999</v>
      </c>
      <c r="H60" s="118">
        <f t="shared" si="6"/>
        <v>4210.8483999999999</v>
      </c>
      <c r="I60" s="61"/>
      <c r="J60" s="155">
        <v>0</v>
      </c>
      <c r="K60" s="155">
        <f>230.7-0.8</f>
        <v>229.89999999999998</v>
      </c>
      <c r="L60" s="153">
        <f t="shared" si="7"/>
        <v>229.89999999999998</v>
      </c>
      <c r="M60" s="158">
        <f t="shared" si="8"/>
        <v>0.99999999999999989</v>
      </c>
      <c r="N60" s="125">
        <f t="shared" si="9"/>
        <v>4210.8483999999989</v>
      </c>
      <c r="X60" s="181">
        <f t="shared" si="5"/>
        <v>-5.2057202992727977E-13</v>
      </c>
    </row>
    <row r="61" spans="2:24" s="57" customFormat="1" ht="20.100000000000001" customHeight="1">
      <c r="B61" s="65">
        <v>56</v>
      </c>
      <c r="C61" s="106" t="s">
        <v>87</v>
      </c>
      <c r="D61" s="111" t="s">
        <v>202</v>
      </c>
      <c r="E61" s="66" t="s">
        <v>274</v>
      </c>
      <c r="F61" s="116">
        <v>5869.6</v>
      </c>
      <c r="G61" s="101">
        <v>11.313000000000001</v>
      </c>
      <c r="H61" s="118">
        <f t="shared" si="6"/>
        <v>66402.784800000009</v>
      </c>
      <c r="I61" s="61"/>
      <c r="J61" s="155">
        <v>5869.6009999999997</v>
      </c>
      <c r="K61" s="153">
        <v>0</v>
      </c>
      <c r="L61" s="153">
        <f t="shared" si="7"/>
        <v>5869.6009999999997</v>
      </c>
      <c r="M61" s="158">
        <f t="shared" si="8"/>
        <v>1.0000001703693606</v>
      </c>
      <c r="N61" s="125">
        <f t="shared" si="9"/>
        <v>66402.796113000004</v>
      </c>
      <c r="X61" s="181">
        <f t="shared" si="5"/>
        <v>1.1312999992015649E-2</v>
      </c>
    </row>
    <row r="62" spans="2:24" s="57" customFormat="1" ht="20.100000000000001" customHeight="1">
      <c r="B62" s="65">
        <v>57</v>
      </c>
      <c r="C62" s="106" t="s">
        <v>63</v>
      </c>
      <c r="D62" s="111" t="s">
        <v>203</v>
      </c>
      <c r="E62" s="66" t="s">
        <v>274</v>
      </c>
      <c r="F62" s="116">
        <v>6906.9</v>
      </c>
      <c r="G62" s="101">
        <v>15.084</v>
      </c>
      <c r="H62" s="118">
        <f t="shared" si="6"/>
        <v>104183.67959999999</v>
      </c>
      <c r="I62" s="61"/>
      <c r="J62" s="155">
        <v>6906.9</v>
      </c>
      <c r="K62" s="153">
        <v>0</v>
      </c>
      <c r="L62" s="153">
        <f t="shared" si="7"/>
        <v>6906.9</v>
      </c>
      <c r="M62" s="158">
        <f t="shared" si="8"/>
        <v>1</v>
      </c>
      <c r="N62" s="125">
        <f t="shared" si="9"/>
        <v>104183.67959999999</v>
      </c>
      <c r="X62" s="181">
        <f t="shared" si="5"/>
        <v>0</v>
      </c>
    </row>
    <row r="63" spans="2:24" s="57" customFormat="1" ht="20.100000000000001" customHeight="1">
      <c r="B63" s="65">
        <v>58</v>
      </c>
      <c r="C63" s="106" t="s">
        <v>66</v>
      </c>
      <c r="D63" s="111" t="s">
        <v>204</v>
      </c>
      <c r="E63" s="66" t="s">
        <v>274</v>
      </c>
      <c r="F63" s="116">
        <v>2156</v>
      </c>
      <c r="G63" s="101">
        <v>18.855</v>
      </c>
      <c r="H63" s="118">
        <f t="shared" si="6"/>
        <v>40651.379999999997</v>
      </c>
      <c r="I63" s="61"/>
      <c r="J63" s="155">
        <v>2156</v>
      </c>
      <c r="K63" s="153">
        <v>0</v>
      </c>
      <c r="L63" s="153">
        <f t="shared" si="7"/>
        <v>2156</v>
      </c>
      <c r="M63" s="158">
        <f t="shared" si="8"/>
        <v>1</v>
      </c>
      <c r="N63" s="125">
        <f t="shared" si="9"/>
        <v>40651.379999999997</v>
      </c>
      <c r="X63" s="181">
        <f t="shared" si="5"/>
        <v>0</v>
      </c>
    </row>
    <row r="64" spans="2:24" s="57" customFormat="1" ht="20.100000000000001" customHeight="1">
      <c r="B64" s="65">
        <v>59</v>
      </c>
      <c r="C64" s="106" t="s">
        <v>90</v>
      </c>
      <c r="D64" s="111" t="s">
        <v>205</v>
      </c>
      <c r="E64" s="66" t="s">
        <v>265</v>
      </c>
      <c r="F64" s="116">
        <v>1</v>
      </c>
      <c r="G64" s="101"/>
      <c r="H64" s="118">
        <f t="shared" si="6"/>
        <v>0</v>
      </c>
      <c r="I64" s="61"/>
      <c r="J64" s="155">
        <v>0</v>
      </c>
      <c r="K64" s="153">
        <v>0</v>
      </c>
      <c r="L64" s="153">
        <f t="shared" si="7"/>
        <v>0</v>
      </c>
      <c r="M64" s="165">
        <f t="shared" si="8"/>
        <v>0</v>
      </c>
      <c r="N64" s="125">
        <f t="shared" si="9"/>
        <v>0</v>
      </c>
      <c r="X64" s="181">
        <f t="shared" si="5"/>
        <v>0</v>
      </c>
    </row>
    <row r="65" spans="2:24" s="57" customFormat="1" ht="20.100000000000001" customHeight="1">
      <c r="B65" s="65">
        <v>60</v>
      </c>
      <c r="C65" s="106" t="s">
        <v>207</v>
      </c>
      <c r="D65" s="111" t="s">
        <v>208</v>
      </c>
      <c r="E65" s="66" t="s">
        <v>273</v>
      </c>
      <c r="F65" s="116">
        <v>1.1000000000000001</v>
      </c>
      <c r="G65" s="101">
        <v>6.3410000000000002</v>
      </c>
      <c r="H65" s="118">
        <f t="shared" si="6"/>
        <v>6.9751000000000012</v>
      </c>
      <c r="I65" s="61"/>
      <c r="J65" s="155">
        <v>0</v>
      </c>
      <c r="K65" s="155">
        <v>1.1000000000000001</v>
      </c>
      <c r="L65" s="153">
        <f t="shared" si="7"/>
        <v>1.1000000000000001</v>
      </c>
      <c r="M65" s="158">
        <f t="shared" si="8"/>
        <v>1</v>
      </c>
      <c r="N65" s="125">
        <f t="shared" si="9"/>
        <v>6.9751000000000012</v>
      </c>
      <c r="X65" s="181">
        <f t="shared" si="5"/>
        <v>0</v>
      </c>
    </row>
    <row r="66" spans="2:24" s="57" customFormat="1" ht="20.100000000000001" customHeight="1">
      <c r="B66" s="65">
        <v>61</v>
      </c>
      <c r="C66" s="106" t="s">
        <v>209</v>
      </c>
      <c r="D66" s="111" t="s">
        <v>210</v>
      </c>
      <c r="E66" s="66" t="s">
        <v>273</v>
      </c>
      <c r="F66" s="116">
        <v>20.9</v>
      </c>
      <c r="G66" s="101">
        <v>6.95</v>
      </c>
      <c r="H66" s="118">
        <f t="shared" si="6"/>
        <v>145.255</v>
      </c>
      <c r="I66" s="61"/>
      <c r="J66" s="155">
        <v>0</v>
      </c>
      <c r="K66" s="155">
        <v>20.9</v>
      </c>
      <c r="L66" s="153">
        <f t="shared" si="7"/>
        <v>20.9</v>
      </c>
      <c r="M66" s="158">
        <f t="shared" si="8"/>
        <v>1</v>
      </c>
      <c r="N66" s="125">
        <f t="shared" si="9"/>
        <v>145.255</v>
      </c>
      <c r="X66" s="181">
        <f t="shared" si="5"/>
        <v>0</v>
      </c>
    </row>
    <row r="67" spans="2:24" s="57" customFormat="1" ht="20.100000000000001" customHeight="1">
      <c r="B67" s="65">
        <v>62</v>
      </c>
      <c r="C67" s="106" t="s">
        <v>211</v>
      </c>
      <c r="D67" s="111" t="s">
        <v>212</v>
      </c>
      <c r="E67" s="66" t="s">
        <v>273</v>
      </c>
      <c r="F67" s="116">
        <v>8.8000000000000007</v>
      </c>
      <c r="G67" s="101">
        <v>9.6270000000000007</v>
      </c>
      <c r="H67" s="118">
        <f t="shared" si="6"/>
        <v>84.717600000000019</v>
      </c>
      <c r="I67" s="61"/>
      <c r="J67" s="155">
        <v>0</v>
      </c>
      <c r="K67" s="155">
        <v>8.8000000000000007</v>
      </c>
      <c r="L67" s="153">
        <f t="shared" si="7"/>
        <v>8.8000000000000007</v>
      </c>
      <c r="M67" s="158">
        <f t="shared" si="8"/>
        <v>1</v>
      </c>
      <c r="N67" s="125">
        <f t="shared" si="9"/>
        <v>84.717600000000019</v>
      </c>
      <c r="X67" s="181">
        <f t="shared" si="5"/>
        <v>0</v>
      </c>
    </row>
    <row r="68" spans="2:24" s="57" customFormat="1" ht="20.100000000000001" customHeight="1">
      <c r="B68" s="65">
        <v>63</v>
      </c>
      <c r="C68" s="106" t="s">
        <v>213</v>
      </c>
      <c r="D68" s="111" t="s">
        <v>214</v>
      </c>
      <c r="E68" s="66" t="s">
        <v>273</v>
      </c>
      <c r="F68" s="116">
        <v>1.1000000000000001</v>
      </c>
      <c r="G68" s="101">
        <v>14.464</v>
      </c>
      <c r="H68" s="118">
        <f t="shared" si="6"/>
        <v>15.910400000000001</v>
      </c>
      <c r="I68" s="61"/>
      <c r="J68" s="155">
        <v>0</v>
      </c>
      <c r="K68" s="155">
        <v>1.1000000000000001</v>
      </c>
      <c r="L68" s="153">
        <f t="shared" si="7"/>
        <v>1.1000000000000001</v>
      </c>
      <c r="M68" s="158">
        <f t="shared" si="8"/>
        <v>1</v>
      </c>
      <c r="N68" s="125">
        <f t="shared" si="9"/>
        <v>15.910400000000001</v>
      </c>
      <c r="X68" s="181">
        <f t="shared" si="5"/>
        <v>0</v>
      </c>
    </row>
    <row r="69" spans="2:24" s="57" customFormat="1" ht="20.100000000000001" customHeight="1">
      <c r="B69" s="65">
        <v>64</v>
      </c>
      <c r="C69" s="106" t="s">
        <v>215</v>
      </c>
      <c r="D69" s="111" t="s">
        <v>216</v>
      </c>
      <c r="E69" s="66" t="s">
        <v>273</v>
      </c>
      <c r="F69" s="116">
        <v>2.2000000000000002</v>
      </c>
      <c r="G69" s="101">
        <v>12.023999999999999</v>
      </c>
      <c r="H69" s="118">
        <f t="shared" si="6"/>
        <v>26.4528</v>
      </c>
      <c r="I69" s="61"/>
      <c r="J69" s="155">
        <v>0</v>
      </c>
      <c r="K69" s="155">
        <v>2.2000000000000002</v>
      </c>
      <c r="L69" s="153">
        <f t="shared" si="7"/>
        <v>2.2000000000000002</v>
      </c>
      <c r="M69" s="158">
        <f t="shared" si="8"/>
        <v>1</v>
      </c>
      <c r="N69" s="125">
        <f t="shared" si="9"/>
        <v>26.4528</v>
      </c>
      <c r="X69" s="181">
        <f t="shared" si="5"/>
        <v>0</v>
      </c>
    </row>
    <row r="70" spans="2:24" s="57" customFormat="1" ht="20.100000000000001" customHeight="1">
      <c r="B70" s="65">
        <v>65</v>
      </c>
      <c r="C70" s="106" t="s">
        <v>217</v>
      </c>
      <c r="D70" s="111" t="s">
        <v>218</v>
      </c>
      <c r="E70" s="66" t="s">
        <v>273</v>
      </c>
      <c r="F70" s="116">
        <v>908.6</v>
      </c>
      <c r="G70" s="101">
        <v>11.092000000000001</v>
      </c>
      <c r="H70" s="118">
        <f t="shared" si="6"/>
        <v>10078.191200000001</v>
      </c>
      <c r="I70" s="61"/>
      <c r="J70" s="155">
        <v>0</v>
      </c>
      <c r="K70" s="155">
        <v>908.6</v>
      </c>
      <c r="L70" s="153">
        <f t="shared" ref="L70:L90" si="10">SUM(J70:K70)</f>
        <v>908.6</v>
      </c>
      <c r="M70" s="158">
        <f t="shared" ref="M70:M90" si="11">L70/F70</f>
        <v>1</v>
      </c>
      <c r="N70" s="125">
        <f t="shared" ref="N70:N90" si="12">L70*G70</f>
        <v>10078.191200000001</v>
      </c>
      <c r="X70" s="181">
        <f t="shared" si="5"/>
        <v>0</v>
      </c>
    </row>
    <row r="71" spans="2:24" s="57" customFormat="1" ht="20.100000000000001" customHeight="1">
      <c r="B71" s="65">
        <v>66</v>
      </c>
      <c r="C71" s="106" t="s">
        <v>219</v>
      </c>
      <c r="D71" s="111" t="s">
        <v>220</v>
      </c>
      <c r="E71" s="66" t="s">
        <v>273</v>
      </c>
      <c r="F71" s="116">
        <v>193.6</v>
      </c>
      <c r="G71" s="101">
        <v>14.625999999999999</v>
      </c>
      <c r="H71" s="118">
        <f t="shared" si="6"/>
        <v>2831.5935999999997</v>
      </c>
      <c r="I71" s="61"/>
      <c r="J71" s="155">
        <v>0</v>
      </c>
      <c r="K71" s="155">
        <v>193.6</v>
      </c>
      <c r="L71" s="153">
        <f t="shared" si="10"/>
        <v>193.6</v>
      </c>
      <c r="M71" s="158">
        <f t="shared" si="11"/>
        <v>1</v>
      </c>
      <c r="N71" s="125">
        <f t="shared" si="12"/>
        <v>2831.5935999999997</v>
      </c>
      <c r="X71" s="181">
        <f t="shared" ref="X71:X90" si="13">(L71-F71)*G71</f>
        <v>0</v>
      </c>
    </row>
    <row r="72" spans="2:24" s="57" customFormat="1" ht="20.100000000000001" customHeight="1">
      <c r="B72" s="65">
        <v>67</v>
      </c>
      <c r="C72" s="106" t="s">
        <v>221</v>
      </c>
      <c r="D72" s="111" t="s">
        <v>222</v>
      </c>
      <c r="E72" s="66" t="s">
        <v>273</v>
      </c>
      <c r="F72" s="116">
        <v>85.8</v>
      </c>
      <c r="G72" s="101">
        <v>21.123000000000001</v>
      </c>
      <c r="H72" s="118">
        <f t="shared" ref="H72:H90" si="14">F72*G72</f>
        <v>1812.3534</v>
      </c>
      <c r="I72" s="61"/>
      <c r="J72" s="155">
        <v>0</v>
      </c>
      <c r="K72" s="155">
        <v>85.8</v>
      </c>
      <c r="L72" s="153">
        <f t="shared" si="10"/>
        <v>85.8</v>
      </c>
      <c r="M72" s="158">
        <f t="shared" si="11"/>
        <v>1</v>
      </c>
      <c r="N72" s="125">
        <f t="shared" si="12"/>
        <v>1812.3534</v>
      </c>
      <c r="X72" s="181">
        <f t="shared" si="13"/>
        <v>0</v>
      </c>
    </row>
    <row r="73" spans="2:24" s="57" customFormat="1" ht="20.100000000000001" customHeight="1">
      <c r="B73" s="65">
        <v>68</v>
      </c>
      <c r="C73" s="106" t="s">
        <v>223</v>
      </c>
      <c r="D73" s="111" t="s">
        <v>224</v>
      </c>
      <c r="E73" s="66" t="s">
        <v>273</v>
      </c>
      <c r="F73" s="116">
        <v>34.1</v>
      </c>
      <c r="G73" s="101">
        <v>25.184000000000001</v>
      </c>
      <c r="H73" s="118">
        <f t="shared" si="14"/>
        <v>858.77440000000013</v>
      </c>
      <c r="I73" s="61"/>
      <c r="J73" s="155">
        <v>0</v>
      </c>
      <c r="K73" s="155">
        <v>34.1</v>
      </c>
      <c r="L73" s="153">
        <f t="shared" si="10"/>
        <v>34.1</v>
      </c>
      <c r="M73" s="158">
        <f t="shared" si="11"/>
        <v>1</v>
      </c>
      <c r="N73" s="125">
        <f t="shared" si="12"/>
        <v>858.77440000000013</v>
      </c>
      <c r="X73" s="181">
        <f t="shared" si="13"/>
        <v>0</v>
      </c>
    </row>
    <row r="74" spans="2:24" s="57" customFormat="1" ht="20.100000000000001" customHeight="1">
      <c r="B74" s="65">
        <v>69</v>
      </c>
      <c r="C74" s="106" t="s">
        <v>225</v>
      </c>
      <c r="D74" s="111" t="s">
        <v>226</v>
      </c>
      <c r="E74" s="66" t="s">
        <v>273</v>
      </c>
      <c r="F74" s="116">
        <v>38.5</v>
      </c>
      <c r="G74" s="101">
        <v>33.512999999999998</v>
      </c>
      <c r="H74" s="118">
        <f t="shared" si="14"/>
        <v>1290.2504999999999</v>
      </c>
      <c r="I74" s="61"/>
      <c r="J74" s="155">
        <v>0</v>
      </c>
      <c r="K74" s="155">
        <f>38.58-0.08</f>
        <v>38.5</v>
      </c>
      <c r="L74" s="153">
        <f t="shared" si="10"/>
        <v>38.5</v>
      </c>
      <c r="M74" s="158">
        <f t="shared" si="11"/>
        <v>1</v>
      </c>
      <c r="N74" s="125">
        <f t="shared" si="12"/>
        <v>1290.2504999999999</v>
      </c>
      <c r="X74" s="181">
        <f t="shared" si="13"/>
        <v>0</v>
      </c>
    </row>
    <row r="75" spans="2:24" s="57" customFormat="1" ht="20.100000000000001" customHeight="1">
      <c r="B75" s="65">
        <v>70</v>
      </c>
      <c r="C75" s="106" t="s">
        <v>291</v>
      </c>
      <c r="D75" s="111" t="s">
        <v>228</v>
      </c>
      <c r="E75" s="66" t="s">
        <v>273</v>
      </c>
      <c r="F75" s="116">
        <v>125.4</v>
      </c>
      <c r="G75" s="101">
        <v>56.052</v>
      </c>
      <c r="H75" s="118">
        <f t="shared" si="14"/>
        <v>7028.9207999999999</v>
      </c>
      <c r="I75" s="61"/>
      <c r="J75" s="155">
        <v>0</v>
      </c>
      <c r="K75" s="155">
        <v>125.4</v>
      </c>
      <c r="L75" s="153">
        <f t="shared" si="10"/>
        <v>125.4</v>
      </c>
      <c r="M75" s="158">
        <f t="shared" si="11"/>
        <v>1</v>
      </c>
      <c r="N75" s="125">
        <f t="shared" si="12"/>
        <v>7028.9207999999999</v>
      </c>
      <c r="X75" s="181">
        <f t="shared" si="13"/>
        <v>0</v>
      </c>
    </row>
    <row r="76" spans="2:24" s="57" customFormat="1" ht="20.100000000000001" customHeight="1">
      <c r="B76" s="65">
        <v>71</v>
      </c>
      <c r="C76" s="106" t="s">
        <v>229</v>
      </c>
      <c r="D76" s="112" t="s">
        <v>230</v>
      </c>
      <c r="E76" s="66" t="s">
        <v>273</v>
      </c>
      <c r="F76" s="116">
        <v>39.6</v>
      </c>
      <c r="G76" s="101">
        <v>44.68</v>
      </c>
      <c r="H76" s="118">
        <f t="shared" si="14"/>
        <v>1769.328</v>
      </c>
      <c r="I76" s="61"/>
      <c r="J76" s="155">
        <v>0</v>
      </c>
      <c r="K76" s="155">
        <v>39.6</v>
      </c>
      <c r="L76" s="153">
        <f t="shared" si="10"/>
        <v>39.6</v>
      </c>
      <c r="M76" s="158">
        <f t="shared" si="11"/>
        <v>1</v>
      </c>
      <c r="N76" s="125">
        <f t="shared" si="12"/>
        <v>1769.328</v>
      </c>
      <c r="X76" s="181">
        <f t="shared" si="13"/>
        <v>0</v>
      </c>
    </row>
    <row r="77" spans="2:24" s="57" customFormat="1" ht="20.100000000000001" customHeight="1">
      <c r="B77" s="65">
        <v>72</v>
      </c>
      <c r="C77" s="106" t="s">
        <v>91</v>
      </c>
      <c r="D77" s="112" t="s">
        <v>233</v>
      </c>
      <c r="E77" s="66" t="s">
        <v>273</v>
      </c>
      <c r="F77" s="116">
        <v>43500</v>
      </c>
      <c r="G77" s="101">
        <v>0.61</v>
      </c>
      <c r="H77" s="118">
        <f t="shared" si="14"/>
        <v>26535</v>
      </c>
      <c r="I77" s="61"/>
      <c r="J77" s="155">
        <v>43500</v>
      </c>
      <c r="K77" s="153">
        <v>0</v>
      </c>
      <c r="L77" s="153">
        <f t="shared" si="10"/>
        <v>43500</v>
      </c>
      <c r="M77" s="158">
        <f t="shared" si="11"/>
        <v>1</v>
      </c>
      <c r="N77" s="125">
        <f t="shared" si="12"/>
        <v>26535</v>
      </c>
      <c r="X77" s="181">
        <f t="shared" si="13"/>
        <v>0</v>
      </c>
    </row>
    <row r="78" spans="2:24" s="57" customFormat="1" ht="20.100000000000001" customHeight="1">
      <c r="B78" s="65">
        <v>73</v>
      </c>
      <c r="C78" s="106" t="s">
        <v>91</v>
      </c>
      <c r="D78" s="112" t="s">
        <v>234</v>
      </c>
      <c r="E78" s="66" t="s">
        <v>273</v>
      </c>
      <c r="F78" s="116">
        <v>13000</v>
      </c>
      <c r="G78" s="101">
        <v>1</v>
      </c>
      <c r="H78" s="118">
        <f t="shared" si="14"/>
        <v>13000</v>
      </c>
      <c r="I78" s="61"/>
      <c r="J78" s="155">
        <v>13000</v>
      </c>
      <c r="K78" s="153">
        <v>0</v>
      </c>
      <c r="L78" s="153">
        <f t="shared" si="10"/>
        <v>13000</v>
      </c>
      <c r="M78" s="158">
        <f t="shared" si="11"/>
        <v>1</v>
      </c>
      <c r="N78" s="125">
        <f t="shared" si="12"/>
        <v>13000</v>
      </c>
      <c r="X78" s="181">
        <f t="shared" si="13"/>
        <v>0</v>
      </c>
    </row>
    <row r="79" spans="2:24" s="57" customFormat="1" ht="20.100000000000001" customHeight="1">
      <c r="B79" s="65">
        <v>74</v>
      </c>
      <c r="C79" s="106" t="s">
        <v>91</v>
      </c>
      <c r="D79" s="112" t="s">
        <v>245</v>
      </c>
      <c r="E79" s="100" t="s">
        <v>264</v>
      </c>
      <c r="F79" s="116">
        <v>72000</v>
      </c>
      <c r="G79" s="101">
        <v>0.08</v>
      </c>
      <c r="H79" s="118">
        <f t="shared" si="14"/>
        <v>5760</v>
      </c>
      <c r="I79" s="61"/>
      <c r="J79" s="155">
        <v>72000</v>
      </c>
      <c r="K79" s="153">
        <v>0</v>
      </c>
      <c r="L79" s="153">
        <f t="shared" si="10"/>
        <v>72000</v>
      </c>
      <c r="M79" s="158">
        <f t="shared" si="11"/>
        <v>1</v>
      </c>
      <c r="N79" s="125">
        <f t="shared" si="12"/>
        <v>5760</v>
      </c>
      <c r="X79" s="181">
        <f t="shared" si="13"/>
        <v>0</v>
      </c>
    </row>
    <row r="80" spans="2:24" s="57" customFormat="1" ht="20.100000000000001" customHeight="1">
      <c r="B80" s="65">
        <v>75</v>
      </c>
      <c r="C80" s="106" t="s">
        <v>91</v>
      </c>
      <c r="D80" s="112" t="s">
        <v>246</v>
      </c>
      <c r="E80" s="100" t="s">
        <v>264</v>
      </c>
      <c r="F80" s="116">
        <v>3500</v>
      </c>
      <c r="G80" s="101">
        <v>0.08</v>
      </c>
      <c r="H80" s="118">
        <f t="shared" si="14"/>
        <v>280</v>
      </c>
      <c r="I80" s="61"/>
      <c r="J80" s="155">
        <v>3500</v>
      </c>
      <c r="K80" s="153">
        <v>0</v>
      </c>
      <c r="L80" s="153">
        <f t="shared" si="10"/>
        <v>3500</v>
      </c>
      <c r="M80" s="158">
        <f t="shared" si="11"/>
        <v>1</v>
      </c>
      <c r="N80" s="125">
        <f t="shared" si="12"/>
        <v>280</v>
      </c>
      <c r="X80" s="181">
        <f t="shared" si="13"/>
        <v>0</v>
      </c>
    </row>
    <row r="81" spans="2:24" s="57" customFormat="1" ht="20.100000000000001" customHeight="1">
      <c r="B81" s="65">
        <v>76</v>
      </c>
      <c r="C81" s="106" t="s">
        <v>91</v>
      </c>
      <c r="D81" s="112" t="s">
        <v>235</v>
      </c>
      <c r="E81" s="100" t="s">
        <v>264</v>
      </c>
      <c r="F81" s="116">
        <v>120000</v>
      </c>
      <c r="G81" s="101">
        <v>6.6000000000000003E-2</v>
      </c>
      <c r="H81" s="118">
        <f t="shared" si="14"/>
        <v>7920</v>
      </c>
      <c r="I81" s="61"/>
      <c r="J81" s="155">
        <v>120000</v>
      </c>
      <c r="K81" s="153">
        <v>0</v>
      </c>
      <c r="L81" s="153">
        <f t="shared" si="10"/>
        <v>120000</v>
      </c>
      <c r="M81" s="158">
        <f t="shared" si="11"/>
        <v>1</v>
      </c>
      <c r="N81" s="125">
        <f t="shared" si="12"/>
        <v>7920</v>
      </c>
      <c r="X81" s="181">
        <f t="shared" si="13"/>
        <v>0</v>
      </c>
    </row>
    <row r="82" spans="2:24" s="57" customFormat="1" ht="20.100000000000001" customHeight="1">
      <c r="B82" s="65">
        <v>77</v>
      </c>
      <c r="C82" s="106" t="s">
        <v>91</v>
      </c>
      <c r="D82" s="112" t="s">
        <v>236</v>
      </c>
      <c r="E82" s="100" t="s">
        <v>264</v>
      </c>
      <c r="F82" s="116">
        <v>80000</v>
      </c>
      <c r="G82" s="101">
        <v>5.7000000000000002E-2</v>
      </c>
      <c r="H82" s="118">
        <f t="shared" si="14"/>
        <v>4560</v>
      </c>
      <c r="I82" s="61"/>
      <c r="J82" s="155">
        <v>80000</v>
      </c>
      <c r="K82" s="153">
        <v>0</v>
      </c>
      <c r="L82" s="153">
        <f t="shared" si="10"/>
        <v>80000</v>
      </c>
      <c r="M82" s="158">
        <f t="shared" si="11"/>
        <v>1</v>
      </c>
      <c r="N82" s="125">
        <f t="shared" si="12"/>
        <v>4560</v>
      </c>
      <c r="X82" s="181">
        <f t="shared" si="13"/>
        <v>0</v>
      </c>
    </row>
    <row r="83" spans="2:24" s="57" customFormat="1" ht="20.100000000000001" customHeight="1">
      <c r="B83" s="65">
        <v>78</v>
      </c>
      <c r="C83" s="106" t="s">
        <v>91</v>
      </c>
      <c r="D83" s="112" t="s">
        <v>237</v>
      </c>
      <c r="E83" s="100" t="s">
        <v>264</v>
      </c>
      <c r="F83" s="116">
        <v>120000</v>
      </c>
      <c r="G83" s="101">
        <v>3.5999999999999997E-2</v>
      </c>
      <c r="H83" s="118">
        <f t="shared" si="14"/>
        <v>4320</v>
      </c>
      <c r="I83" s="61"/>
      <c r="J83" s="155">
        <v>53100</v>
      </c>
      <c r="K83" s="153">
        <v>0</v>
      </c>
      <c r="L83" s="153">
        <f t="shared" si="10"/>
        <v>53100</v>
      </c>
      <c r="M83" s="168">
        <f t="shared" si="11"/>
        <v>0.4425</v>
      </c>
      <c r="N83" s="125">
        <f t="shared" si="12"/>
        <v>1911.6</v>
      </c>
      <c r="X83" s="181">
        <f t="shared" si="13"/>
        <v>-2408.3999999999996</v>
      </c>
    </row>
    <row r="84" spans="2:24" s="57" customFormat="1" ht="20.100000000000001" customHeight="1">
      <c r="B84" s="65">
        <v>79</v>
      </c>
      <c r="C84" s="106" t="s">
        <v>91</v>
      </c>
      <c r="D84" s="112" t="s">
        <v>238</v>
      </c>
      <c r="E84" s="100" t="s">
        <v>264</v>
      </c>
      <c r="F84" s="116">
        <v>3090</v>
      </c>
      <c r="G84" s="101">
        <v>6.6</v>
      </c>
      <c r="H84" s="118">
        <f t="shared" si="14"/>
        <v>20394</v>
      </c>
      <c r="I84" s="61"/>
      <c r="J84" s="155">
        <v>0</v>
      </c>
      <c r="K84" s="153">
        <v>0</v>
      </c>
      <c r="L84" s="153">
        <f t="shared" si="10"/>
        <v>0</v>
      </c>
      <c r="M84" s="165">
        <f t="shared" si="11"/>
        <v>0</v>
      </c>
      <c r="N84" s="125">
        <f t="shared" si="12"/>
        <v>0</v>
      </c>
      <c r="X84" s="181">
        <f t="shared" si="13"/>
        <v>-20394</v>
      </c>
    </row>
    <row r="85" spans="2:24" s="57" customFormat="1" ht="20.100000000000001" customHeight="1">
      <c r="B85" s="65">
        <v>80</v>
      </c>
      <c r="C85" s="106" t="s">
        <v>91</v>
      </c>
      <c r="D85" s="112" t="s">
        <v>239</v>
      </c>
      <c r="E85" s="100" t="s">
        <v>264</v>
      </c>
      <c r="F85" s="116">
        <v>3200</v>
      </c>
      <c r="G85" s="101">
        <v>0.09</v>
      </c>
      <c r="H85" s="118">
        <f t="shared" si="14"/>
        <v>288</v>
      </c>
      <c r="I85" s="61"/>
      <c r="J85" s="155">
        <v>3200</v>
      </c>
      <c r="K85" s="153">
        <v>0</v>
      </c>
      <c r="L85" s="153">
        <f t="shared" si="10"/>
        <v>3200</v>
      </c>
      <c r="M85" s="158">
        <f t="shared" si="11"/>
        <v>1</v>
      </c>
      <c r="N85" s="125">
        <f t="shared" si="12"/>
        <v>288</v>
      </c>
      <c r="X85" s="181">
        <f t="shared" si="13"/>
        <v>0</v>
      </c>
    </row>
    <row r="86" spans="2:24" s="57" customFormat="1" ht="20.100000000000001" customHeight="1">
      <c r="B86" s="65">
        <v>81</v>
      </c>
      <c r="C86" s="106" t="s">
        <v>91</v>
      </c>
      <c r="D86" s="112" t="s">
        <v>240</v>
      </c>
      <c r="E86" s="66" t="s">
        <v>273</v>
      </c>
      <c r="F86" s="116">
        <v>106000</v>
      </c>
      <c r="G86" s="101">
        <v>0.21</v>
      </c>
      <c r="H86" s="118">
        <f t="shared" si="14"/>
        <v>22260</v>
      </c>
      <c r="I86" s="61"/>
      <c r="J86" s="155">
        <v>106000</v>
      </c>
      <c r="K86" s="153">
        <v>0</v>
      </c>
      <c r="L86" s="153">
        <f t="shared" si="10"/>
        <v>106000</v>
      </c>
      <c r="M86" s="158">
        <f t="shared" si="11"/>
        <v>1</v>
      </c>
      <c r="N86" s="125">
        <f t="shared" si="12"/>
        <v>22260</v>
      </c>
      <c r="X86" s="181">
        <f t="shared" si="13"/>
        <v>0</v>
      </c>
    </row>
    <row r="87" spans="2:24" s="57" customFormat="1" ht="20.100000000000001" customHeight="1">
      <c r="B87" s="65">
        <v>82</v>
      </c>
      <c r="C87" s="106" t="s">
        <v>91</v>
      </c>
      <c r="D87" s="112" t="s">
        <v>241</v>
      </c>
      <c r="E87" s="100" t="s">
        <v>276</v>
      </c>
      <c r="F87" s="116">
        <v>75</v>
      </c>
      <c r="G87" s="101">
        <v>15.95</v>
      </c>
      <c r="H87" s="118">
        <f t="shared" si="14"/>
        <v>1196.25</v>
      </c>
      <c r="I87" s="61"/>
      <c r="J87" s="155">
        <v>75</v>
      </c>
      <c r="K87" s="153">
        <v>0</v>
      </c>
      <c r="L87" s="153">
        <f t="shared" si="10"/>
        <v>75</v>
      </c>
      <c r="M87" s="158">
        <f t="shared" si="11"/>
        <v>1</v>
      </c>
      <c r="N87" s="125">
        <f t="shared" si="12"/>
        <v>1196.25</v>
      </c>
      <c r="X87" s="181">
        <f t="shared" si="13"/>
        <v>0</v>
      </c>
    </row>
    <row r="88" spans="2:24" s="57" customFormat="1" ht="20.100000000000001" customHeight="1">
      <c r="B88" s="65">
        <v>83</v>
      </c>
      <c r="C88" s="106" t="s">
        <v>91</v>
      </c>
      <c r="D88" s="112" t="s">
        <v>104</v>
      </c>
      <c r="E88" s="100" t="s">
        <v>275</v>
      </c>
      <c r="F88" s="116">
        <v>2075</v>
      </c>
      <c r="G88" s="101">
        <v>2.65</v>
      </c>
      <c r="H88" s="118">
        <f t="shared" si="14"/>
        <v>5498.75</v>
      </c>
      <c r="I88" s="61"/>
      <c r="J88" s="155">
        <v>2075</v>
      </c>
      <c r="K88" s="153">
        <v>0</v>
      </c>
      <c r="L88" s="153">
        <f t="shared" si="10"/>
        <v>2075</v>
      </c>
      <c r="M88" s="158">
        <f t="shared" si="11"/>
        <v>1</v>
      </c>
      <c r="N88" s="125">
        <f t="shared" si="12"/>
        <v>5498.75</v>
      </c>
      <c r="X88" s="181">
        <f t="shared" si="13"/>
        <v>0</v>
      </c>
    </row>
    <row r="89" spans="2:24" s="57" customFormat="1" ht="20.100000000000001" customHeight="1">
      <c r="B89" s="65">
        <v>84</v>
      </c>
      <c r="C89" s="106" t="s">
        <v>91</v>
      </c>
      <c r="D89" s="112" t="s">
        <v>106</v>
      </c>
      <c r="E89" s="100" t="s">
        <v>275</v>
      </c>
      <c r="F89" s="116">
        <v>550</v>
      </c>
      <c r="G89" s="101">
        <v>3</v>
      </c>
      <c r="H89" s="118">
        <f t="shared" si="14"/>
        <v>1650</v>
      </c>
      <c r="I89" s="61"/>
      <c r="J89" s="155">
        <v>550</v>
      </c>
      <c r="K89" s="153">
        <v>0</v>
      </c>
      <c r="L89" s="153">
        <f t="shared" si="10"/>
        <v>550</v>
      </c>
      <c r="M89" s="158">
        <f t="shared" si="11"/>
        <v>1</v>
      </c>
      <c r="N89" s="125">
        <f t="shared" si="12"/>
        <v>1650</v>
      </c>
      <c r="X89" s="181">
        <f t="shared" si="13"/>
        <v>0</v>
      </c>
    </row>
    <row r="90" spans="2:24" s="57" customFormat="1" ht="20.100000000000001" customHeight="1">
      <c r="B90" s="69">
        <v>85</v>
      </c>
      <c r="C90" s="133" t="s">
        <v>91</v>
      </c>
      <c r="D90" s="134" t="s">
        <v>107</v>
      </c>
      <c r="E90" s="70" t="s">
        <v>275</v>
      </c>
      <c r="F90" s="135">
        <v>750</v>
      </c>
      <c r="G90" s="71">
        <v>1.3</v>
      </c>
      <c r="H90" s="136">
        <f t="shared" si="14"/>
        <v>975</v>
      </c>
      <c r="I90" s="61"/>
      <c r="J90" s="156">
        <v>750</v>
      </c>
      <c r="K90" s="156">
        <v>0</v>
      </c>
      <c r="L90" s="156">
        <f t="shared" si="10"/>
        <v>750</v>
      </c>
      <c r="M90" s="159">
        <f t="shared" si="11"/>
        <v>1</v>
      </c>
      <c r="N90" s="132">
        <f t="shared" si="12"/>
        <v>975</v>
      </c>
      <c r="X90" s="181">
        <f t="shared" si="13"/>
        <v>0</v>
      </c>
    </row>
    <row r="91" spans="2:24" ht="5.0999999999999996" customHeight="1">
      <c r="D91" s="73"/>
      <c r="E91" s="73"/>
      <c r="F91" s="73"/>
      <c r="G91" s="74"/>
      <c r="H91" s="75"/>
      <c r="I91" s="76"/>
      <c r="J91" s="77"/>
      <c r="K91" s="77"/>
      <c r="L91" s="77"/>
      <c r="M91" s="77"/>
      <c r="N91" s="78"/>
    </row>
    <row r="92" spans="2:24" s="79" customFormat="1" ht="24" thickBot="1">
      <c r="D92" s="80"/>
      <c r="E92" s="80"/>
      <c r="F92" s="80"/>
      <c r="G92" s="81"/>
      <c r="H92" s="119">
        <f>SUBTOTAL(9,H6:H90)</f>
        <v>529403.56890000007</v>
      </c>
      <c r="I92" s="82"/>
      <c r="J92" s="83"/>
      <c r="K92" s="83"/>
      <c r="L92" s="83"/>
      <c r="M92" s="83"/>
      <c r="N92" s="119">
        <f>SUBTOTAL(9,N6:N90)</f>
        <v>463875.35071299999</v>
      </c>
      <c r="X92" s="79">
        <f>SUM(X6:X91)</f>
        <v>-65528.218186999999</v>
      </c>
    </row>
    <row r="93" spans="2:24" ht="20.100000000000001" customHeight="1" thickTop="1">
      <c r="D93" s="73"/>
      <c r="E93" s="73"/>
      <c r="F93" s="84"/>
      <c r="G93" s="85"/>
      <c r="H93" s="73"/>
      <c r="I93" s="73"/>
      <c r="J93" s="73"/>
      <c r="K93" s="73"/>
      <c r="L93" s="73"/>
      <c r="M93" s="73"/>
      <c r="N93" s="73"/>
      <c r="X93" s="182"/>
    </row>
    <row r="94" spans="2:24" ht="33.75">
      <c r="B94" s="48" t="s">
        <v>266</v>
      </c>
      <c r="C94" s="48"/>
      <c r="D94" s="86"/>
      <c r="E94" s="48"/>
      <c r="F94" s="86"/>
      <c r="G94" s="86"/>
      <c r="H94" s="162" t="s">
        <v>267</v>
      </c>
      <c r="I94" s="88"/>
      <c r="J94" s="48" t="s">
        <v>268</v>
      </c>
      <c r="K94" s="48"/>
      <c r="L94" s="48"/>
      <c r="M94" s="48"/>
      <c r="N94" s="86"/>
    </row>
    <row r="95" spans="2:24" ht="6" customHeight="1">
      <c r="G95" s="49"/>
      <c r="H95" s="50"/>
      <c r="I95" s="88"/>
    </row>
    <row r="96" spans="2:24" s="89" customFormat="1" ht="21.95" customHeight="1">
      <c r="B96" s="89" t="s">
        <v>280</v>
      </c>
      <c r="H96" s="126">
        <f>N92</f>
        <v>463875.35071299999</v>
      </c>
      <c r="I96" s="90"/>
      <c r="J96" s="447" t="s">
        <v>298</v>
      </c>
      <c r="K96" s="447"/>
      <c r="L96" s="447"/>
      <c r="M96" s="447"/>
      <c r="N96" s="447"/>
    </row>
    <row r="97" spans="2:23" s="89" customFormat="1" ht="21.95" customHeight="1">
      <c r="B97" s="89" t="s">
        <v>293</v>
      </c>
      <c r="H97" s="160">
        <f>'کنترل قرارداد (1)'!H96</f>
        <v>320073.39489999996</v>
      </c>
      <c r="I97" s="90"/>
      <c r="J97" s="447"/>
      <c r="K97" s="447"/>
      <c r="L97" s="447"/>
      <c r="M97" s="447"/>
      <c r="N97" s="447"/>
    </row>
    <row r="98" spans="2:23" s="89" customFormat="1" ht="21.95" customHeight="1">
      <c r="B98" s="89" t="s">
        <v>294</v>
      </c>
      <c r="H98" s="126">
        <f>H96-H97</f>
        <v>143801.95581300004</v>
      </c>
      <c r="I98" s="90"/>
      <c r="J98" s="447"/>
      <c r="K98" s="447"/>
      <c r="L98" s="447"/>
      <c r="M98" s="447"/>
      <c r="N98" s="447"/>
    </row>
    <row r="99" spans="2:23" ht="21.95" customHeight="1">
      <c r="B99" s="92" t="s">
        <v>269</v>
      </c>
      <c r="C99" s="92"/>
      <c r="D99" s="89"/>
      <c r="E99" s="92"/>
      <c r="F99" s="89"/>
      <c r="G99" s="89"/>
      <c r="H99" s="127">
        <f>(H98*9%)+0.00397682999755489</f>
        <v>12942.18</v>
      </c>
      <c r="I99" s="93"/>
      <c r="J99" s="447"/>
      <c r="K99" s="447"/>
      <c r="L99" s="447"/>
      <c r="M99" s="447"/>
      <c r="N99" s="447"/>
      <c r="T99" s="49">
        <v>12942.176023170003</v>
      </c>
      <c r="V99" s="49">
        <v>12942.18</v>
      </c>
      <c r="W99" s="49">
        <v>3.9768299975548897E-3</v>
      </c>
    </row>
    <row r="100" spans="2:23" ht="21.95" customHeight="1">
      <c r="B100" s="94" t="s">
        <v>296</v>
      </c>
      <c r="C100" s="94"/>
      <c r="D100" s="91"/>
      <c r="E100" s="94"/>
      <c r="F100" s="91"/>
      <c r="G100" s="91"/>
      <c r="H100" s="128">
        <f>SUM(H98:H99)</f>
        <v>156744.13581300003</v>
      </c>
      <c r="J100" s="447"/>
      <c r="K100" s="447"/>
      <c r="L100" s="447"/>
      <c r="M100" s="447"/>
      <c r="N100" s="447"/>
    </row>
    <row r="101" spans="2:23" ht="21.95" customHeight="1">
      <c r="B101" s="89"/>
      <c r="C101" s="89"/>
      <c r="D101" s="89"/>
      <c r="E101" s="89"/>
      <c r="F101" s="89"/>
      <c r="G101" s="95"/>
      <c r="H101" s="129"/>
      <c r="J101" s="447"/>
      <c r="K101" s="447"/>
      <c r="L101" s="447"/>
      <c r="M101" s="447"/>
      <c r="N101" s="447"/>
    </row>
    <row r="102" spans="2:23" ht="21.95" customHeight="1">
      <c r="B102" s="91" t="s">
        <v>270</v>
      </c>
      <c r="C102" s="91"/>
      <c r="D102" s="89"/>
      <c r="E102" s="89"/>
      <c r="F102" s="89"/>
      <c r="G102" s="95"/>
      <c r="H102" s="129"/>
      <c r="J102" s="447"/>
      <c r="K102" s="447"/>
      <c r="L102" s="447"/>
      <c r="M102" s="447"/>
      <c r="N102" s="447"/>
    </row>
    <row r="103" spans="2:23" ht="21.95" customHeight="1">
      <c r="B103" s="89" t="s">
        <v>277</v>
      </c>
      <c r="C103" s="89"/>
      <c r="D103" s="89"/>
      <c r="E103" s="89"/>
      <c r="F103" s="89"/>
      <c r="G103" s="95"/>
      <c r="H103" s="161">
        <f>H98*30%</f>
        <v>43140.586743900007</v>
      </c>
      <c r="J103" s="447"/>
      <c r="K103" s="447"/>
      <c r="L103" s="447"/>
      <c r="M103" s="447"/>
      <c r="N103" s="447"/>
    </row>
    <row r="104" spans="2:23" ht="21.95" customHeight="1">
      <c r="B104" s="94" t="s">
        <v>271</v>
      </c>
      <c r="C104" s="94"/>
      <c r="D104" s="91"/>
      <c r="E104" s="94"/>
      <c r="F104" s="91"/>
      <c r="G104" s="91"/>
      <c r="H104" s="128">
        <f>SUM(H103:H103)</f>
        <v>43140.586743900007</v>
      </c>
      <c r="I104" s="97"/>
      <c r="J104" s="447"/>
      <c r="K104" s="447"/>
      <c r="L104" s="447"/>
      <c r="M104" s="447"/>
      <c r="N104" s="447"/>
      <c r="O104" s="96"/>
    </row>
    <row r="105" spans="2:23" ht="21.95" customHeight="1">
      <c r="B105" s="89"/>
      <c r="C105" s="89"/>
      <c r="D105" s="89"/>
      <c r="E105" s="89"/>
      <c r="F105" s="89"/>
      <c r="G105" s="98"/>
      <c r="H105" s="129"/>
      <c r="J105" s="447"/>
      <c r="K105" s="447"/>
      <c r="L105" s="447"/>
      <c r="M105" s="447"/>
      <c r="N105" s="447"/>
    </row>
    <row r="106" spans="2:23" ht="21.95" customHeight="1" thickBot="1">
      <c r="B106" s="94" t="s">
        <v>272</v>
      </c>
      <c r="C106" s="94"/>
      <c r="D106" s="91"/>
      <c r="E106" s="94"/>
      <c r="F106" s="91"/>
      <c r="G106" s="91"/>
      <c r="H106" s="130">
        <f>H100-H104</f>
        <v>113603.54906910003</v>
      </c>
      <c r="J106" s="447"/>
      <c r="K106" s="447"/>
      <c r="L106" s="447"/>
      <c r="M106" s="447"/>
      <c r="N106" s="447"/>
    </row>
    <row r="107" spans="2:23" ht="21.95" customHeight="1" thickTop="1">
      <c r="H107" s="99"/>
      <c r="J107" s="137"/>
      <c r="K107" s="137"/>
      <c r="L107" s="137"/>
      <c r="M107" s="137"/>
      <c r="N107" s="137"/>
    </row>
    <row r="108" spans="2:23" ht="21.95" customHeight="1">
      <c r="H108" s="99"/>
      <c r="J108" s="137"/>
      <c r="K108" s="137"/>
      <c r="L108" s="137"/>
      <c r="M108" s="137"/>
      <c r="N108" s="137"/>
    </row>
  </sheetData>
  <autoFilter ref="A5:R90" xr:uid="{2677F53A-618D-4F2A-ACD6-49F1DBDD5742}"/>
  <mergeCells count="1">
    <mergeCell ref="J96:N106"/>
  </mergeCells>
  <printOptions horizontalCentered="1"/>
  <pageMargins left="0" right="0" top="0.75" bottom="0.35" header="0.3" footer="0.3"/>
  <pageSetup scale="54" fitToHeight="0" orientation="portrait" r:id="rId1"/>
  <headerFooter>
    <oddFooter>&amp;Cصفحه &amp;P از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1EF8-D971-44A5-B898-E20B90F6A1DF}">
  <sheetPr>
    <pageSetUpPr fitToPage="1"/>
  </sheetPr>
  <dimension ref="B1:W120"/>
  <sheetViews>
    <sheetView rightToLeft="1" view="pageBreakPreview" topLeftCell="A94" zoomScale="112" zoomScaleNormal="100" zoomScaleSheetLayoutView="112" workbookViewId="0">
      <selection activeCell="H106" sqref="H106"/>
    </sheetView>
  </sheetViews>
  <sheetFormatPr defaultColWidth="9.140625" defaultRowHeight="19.5"/>
  <cols>
    <col min="1" max="1" width="2.7109375" style="49" customWidth="1"/>
    <col min="2" max="2" width="5.7109375" style="49" customWidth="1"/>
    <col min="3" max="3" width="12.140625" style="49" bestFit="1" customWidth="1"/>
    <col min="4" max="4" width="60.5703125" style="49" customWidth="1"/>
    <col min="5" max="5" width="5" style="49" bestFit="1" customWidth="1"/>
    <col min="6" max="6" width="11.140625" style="49" bestFit="1" customWidth="1"/>
    <col min="7" max="7" width="9.140625" style="50" customWidth="1"/>
    <col min="8" max="8" width="14.5703125" style="185" customWidth="1"/>
    <col min="9" max="9" width="1.7109375" style="49" customWidth="1"/>
    <col min="10" max="14" width="13.42578125" style="49" customWidth="1"/>
    <col min="15" max="15" width="10.85546875" style="49" bestFit="1" customWidth="1"/>
    <col min="16" max="16" width="12.85546875" style="49" customWidth="1"/>
    <col min="17" max="17" width="1.7109375" style="49" customWidth="1"/>
    <col min="18" max="18" width="12.85546875" style="49" customWidth="1"/>
    <col min="19" max="23" width="9.140625" style="49" customWidth="1"/>
    <col min="24" max="16384" width="9.140625" style="49"/>
  </cols>
  <sheetData>
    <row r="1" spans="2:18" s="45" customFormat="1" ht="27.95" customHeight="1">
      <c r="B1" s="44" t="s">
        <v>286</v>
      </c>
      <c r="C1" s="44"/>
      <c r="E1" s="44"/>
      <c r="G1" s="46"/>
      <c r="H1" s="184"/>
      <c r="P1" s="47" t="s">
        <v>284</v>
      </c>
      <c r="R1" s="47"/>
    </row>
    <row r="2" spans="2:18" s="45" customFormat="1" ht="27.95" customHeight="1">
      <c r="B2" s="44" t="s">
        <v>254</v>
      </c>
      <c r="C2" s="44"/>
      <c r="E2" s="44"/>
      <c r="G2" s="46"/>
      <c r="H2" s="184"/>
      <c r="P2" s="47" t="s">
        <v>278</v>
      </c>
      <c r="R2" s="47"/>
    </row>
    <row r="3" spans="2:18" s="45" customFormat="1" ht="27.95" customHeight="1">
      <c r="B3" s="44" t="s">
        <v>285</v>
      </c>
      <c r="C3" s="44"/>
      <c r="E3" s="44"/>
      <c r="G3" s="138"/>
      <c r="H3" s="184"/>
      <c r="P3" s="47" t="s">
        <v>304</v>
      </c>
      <c r="R3" s="47"/>
    </row>
    <row r="4" spans="2:18" ht="6" customHeight="1"/>
    <row r="5" spans="2:18" s="57" customFormat="1" ht="72">
      <c r="B5" s="51" t="s">
        <v>255</v>
      </c>
      <c r="C5" s="51" t="s">
        <v>256</v>
      </c>
      <c r="D5" s="51" t="s">
        <v>257</v>
      </c>
      <c r="E5" s="52" t="s">
        <v>258</v>
      </c>
      <c r="F5" s="52" t="s">
        <v>259</v>
      </c>
      <c r="G5" s="52" t="s">
        <v>260</v>
      </c>
      <c r="H5" s="53" t="s">
        <v>261</v>
      </c>
      <c r="I5" s="54"/>
      <c r="J5" s="55" t="s">
        <v>288</v>
      </c>
      <c r="K5" s="55" t="s">
        <v>289</v>
      </c>
      <c r="L5" s="166" t="s">
        <v>299</v>
      </c>
      <c r="M5" s="55" t="s">
        <v>300</v>
      </c>
      <c r="N5" s="55" t="s">
        <v>292</v>
      </c>
      <c r="O5" s="55" t="s">
        <v>283</v>
      </c>
      <c r="P5" s="56" t="s">
        <v>295</v>
      </c>
      <c r="R5" s="56" t="s">
        <v>305</v>
      </c>
    </row>
    <row r="6" spans="2:18" s="57" customFormat="1" ht="21.75" customHeight="1">
      <c r="B6" s="58">
        <v>1</v>
      </c>
      <c r="C6" s="103" t="s">
        <v>118</v>
      </c>
      <c r="D6" s="107" t="s">
        <v>119</v>
      </c>
      <c r="E6" s="59" t="s">
        <v>273</v>
      </c>
      <c r="F6" s="113">
        <v>277.5</v>
      </c>
      <c r="G6" s="60">
        <v>1.077</v>
      </c>
      <c r="H6" s="117">
        <f>F6*G6</f>
        <v>298.86750000000001</v>
      </c>
      <c r="I6" s="61"/>
      <c r="J6" s="152">
        <v>0</v>
      </c>
      <c r="K6" s="152">
        <v>0</v>
      </c>
      <c r="L6" s="152">
        <v>0</v>
      </c>
      <c r="M6" s="152">
        <v>277.5</v>
      </c>
      <c r="N6" s="152">
        <f t="shared" ref="N6:N37" si="0">SUM(J6:M6)</f>
        <v>277.5</v>
      </c>
      <c r="O6" s="157">
        <f t="shared" ref="O6:O37" si="1">N6/F6</f>
        <v>1</v>
      </c>
      <c r="P6" s="124">
        <f t="shared" ref="P6:P37" si="2">N6*G6</f>
        <v>298.86750000000001</v>
      </c>
      <c r="R6" s="124">
        <f t="shared" ref="R6:R37" si="3">(F6-N6)*G6</f>
        <v>0</v>
      </c>
    </row>
    <row r="7" spans="2:18" s="57" customFormat="1" ht="21.75" customHeight="1">
      <c r="B7" s="65">
        <v>2</v>
      </c>
      <c r="C7" s="104" t="s">
        <v>35</v>
      </c>
      <c r="D7" s="108" t="s">
        <v>120</v>
      </c>
      <c r="E7" s="66" t="s">
        <v>273</v>
      </c>
      <c r="F7" s="114">
        <v>22</v>
      </c>
      <c r="G7" s="67">
        <v>1.508</v>
      </c>
      <c r="H7" s="118">
        <f>F7*G7</f>
        <v>33.176000000000002</v>
      </c>
      <c r="I7" s="61"/>
      <c r="J7" s="153">
        <v>22</v>
      </c>
      <c r="K7" s="153">
        <v>0</v>
      </c>
      <c r="L7" s="153">
        <v>0</v>
      </c>
      <c r="M7" s="153">
        <v>0</v>
      </c>
      <c r="N7" s="152">
        <f t="shared" si="0"/>
        <v>22</v>
      </c>
      <c r="O7" s="158">
        <f t="shared" si="1"/>
        <v>1</v>
      </c>
      <c r="P7" s="125">
        <f t="shared" si="2"/>
        <v>33.176000000000002</v>
      </c>
      <c r="R7" s="125">
        <f t="shared" si="3"/>
        <v>0</v>
      </c>
    </row>
    <row r="8" spans="2:18" s="57" customFormat="1" ht="21.75" customHeight="1">
      <c r="B8" s="65">
        <v>3</v>
      </c>
      <c r="C8" s="104" t="s">
        <v>37</v>
      </c>
      <c r="D8" s="108" t="s">
        <v>121</v>
      </c>
      <c r="E8" s="66" t="s">
        <v>273</v>
      </c>
      <c r="F8" s="114">
        <v>1.5</v>
      </c>
      <c r="G8" s="67">
        <v>2.2970000000000002</v>
      </c>
      <c r="H8" s="118">
        <f t="shared" ref="H8:H71" si="4">F8*G8</f>
        <v>3.4455</v>
      </c>
      <c r="I8" s="61"/>
      <c r="J8" s="153">
        <v>1.5</v>
      </c>
      <c r="K8" s="153">
        <v>0</v>
      </c>
      <c r="L8" s="153">
        <v>0</v>
      </c>
      <c r="M8" s="153">
        <v>0</v>
      </c>
      <c r="N8" s="152">
        <f t="shared" si="0"/>
        <v>1.5</v>
      </c>
      <c r="O8" s="158">
        <f t="shared" si="1"/>
        <v>1</v>
      </c>
      <c r="P8" s="125">
        <f t="shared" si="2"/>
        <v>3.4455</v>
      </c>
      <c r="R8" s="125">
        <f t="shared" si="3"/>
        <v>0</v>
      </c>
    </row>
    <row r="9" spans="2:18" s="57" customFormat="1" ht="21.75" customHeight="1">
      <c r="B9" s="65">
        <v>4</v>
      </c>
      <c r="C9" s="104" t="s">
        <v>48</v>
      </c>
      <c r="D9" s="108" t="s">
        <v>122</v>
      </c>
      <c r="E9" s="66" t="s">
        <v>273</v>
      </c>
      <c r="F9" s="114">
        <v>1558</v>
      </c>
      <c r="G9" s="67">
        <v>1.149</v>
      </c>
      <c r="H9" s="118">
        <f t="shared" si="4"/>
        <v>1790.1420000000001</v>
      </c>
      <c r="I9" s="61"/>
      <c r="J9" s="153">
        <v>1558</v>
      </c>
      <c r="K9" s="153">
        <v>0</v>
      </c>
      <c r="L9" s="153">
        <v>0</v>
      </c>
      <c r="M9" s="153">
        <v>0</v>
      </c>
      <c r="N9" s="152">
        <f t="shared" si="0"/>
        <v>1558</v>
      </c>
      <c r="O9" s="158">
        <f t="shared" si="1"/>
        <v>1</v>
      </c>
      <c r="P9" s="125">
        <f t="shared" si="2"/>
        <v>1790.1420000000001</v>
      </c>
      <c r="R9" s="125">
        <f t="shared" si="3"/>
        <v>0</v>
      </c>
    </row>
    <row r="10" spans="2:18" s="57" customFormat="1" ht="21.75" customHeight="1">
      <c r="B10" s="65">
        <v>5</v>
      </c>
      <c r="C10" s="104" t="s">
        <v>50</v>
      </c>
      <c r="D10" s="108" t="s">
        <v>123</v>
      </c>
      <c r="E10" s="66" t="s">
        <v>273</v>
      </c>
      <c r="F10" s="114">
        <v>122.5</v>
      </c>
      <c r="G10" s="67">
        <v>1.7230000000000001</v>
      </c>
      <c r="H10" s="118">
        <f t="shared" si="4"/>
        <v>211.06750000000002</v>
      </c>
      <c r="I10" s="61"/>
      <c r="J10" s="153">
        <v>122.5</v>
      </c>
      <c r="K10" s="153">
        <v>0</v>
      </c>
      <c r="L10" s="153">
        <v>0</v>
      </c>
      <c r="M10" s="153">
        <v>0</v>
      </c>
      <c r="N10" s="152">
        <f t="shared" si="0"/>
        <v>122.5</v>
      </c>
      <c r="O10" s="158">
        <f t="shared" si="1"/>
        <v>1</v>
      </c>
      <c r="P10" s="125">
        <f t="shared" si="2"/>
        <v>211.06750000000002</v>
      </c>
      <c r="R10" s="125">
        <f t="shared" si="3"/>
        <v>0</v>
      </c>
    </row>
    <row r="11" spans="2:18" s="57" customFormat="1" ht="21.75" customHeight="1">
      <c r="B11" s="65">
        <v>6</v>
      </c>
      <c r="C11" s="104" t="s">
        <v>52</v>
      </c>
      <c r="D11" s="108" t="s">
        <v>124</v>
      </c>
      <c r="E11" s="66" t="s">
        <v>273</v>
      </c>
      <c r="F11" s="114">
        <v>4.5</v>
      </c>
      <c r="G11" s="67">
        <v>2.44</v>
      </c>
      <c r="H11" s="118">
        <f t="shared" si="4"/>
        <v>10.98</v>
      </c>
      <c r="I11" s="61"/>
      <c r="J11" s="153">
        <v>4.5</v>
      </c>
      <c r="K11" s="153">
        <v>0</v>
      </c>
      <c r="L11" s="153">
        <v>0</v>
      </c>
      <c r="M11" s="153">
        <v>0</v>
      </c>
      <c r="N11" s="152">
        <f t="shared" si="0"/>
        <v>4.5</v>
      </c>
      <c r="O11" s="158">
        <f t="shared" si="1"/>
        <v>1</v>
      </c>
      <c r="P11" s="125">
        <f t="shared" si="2"/>
        <v>10.98</v>
      </c>
      <c r="R11" s="125">
        <f t="shared" si="3"/>
        <v>0</v>
      </c>
    </row>
    <row r="12" spans="2:18" s="57" customFormat="1" ht="21.75" customHeight="1">
      <c r="B12" s="65">
        <v>7</v>
      </c>
      <c r="C12" s="104" t="s">
        <v>125</v>
      </c>
      <c r="D12" s="108" t="s">
        <v>126</v>
      </c>
      <c r="E12" s="66" t="s">
        <v>273</v>
      </c>
      <c r="F12" s="114">
        <v>1104.5</v>
      </c>
      <c r="G12" s="67">
        <v>1.1919999999999999</v>
      </c>
      <c r="H12" s="118">
        <f t="shared" si="4"/>
        <v>1316.5639999999999</v>
      </c>
      <c r="I12" s="61"/>
      <c r="J12" s="153">
        <v>0</v>
      </c>
      <c r="K12" s="153">
        <v>0</v>
      </c>
      <c r="L12" s="153">
        <f>600+504.5</f>
        <v>1104.5</v>
      </c>
      <c r="M12" s="153">
        <v>0</v>
      </c>
      <c r="N12" s="152">
        <f t="shared" si="0"/>
        <v>1104.5</v>
      </c>
      <c r="O12" s="158">
        <f t="shared" si="1"/>
        <v>1</v>
      </c>
      <c r="P12" s="125">
        <f t="shared" si="2"/>
        <v>1316.5639999999999</v>
      </c>
      <c r="R12" s="125">
        <f t="shared" si="3"/>
        <v>0</v>
      </c>
    </row>
    <row r="13" spans="2:18" s="57" customFormat="1" ht="21.75" customHeight="1">
      <c r="B13" s="65">
        <v>8</v>
      </c>
      <c r="C13" s="104" t="s">
        <v>127</v>
      </c>
      <c r="D13" s="108" t="s">
        <v>128</v>
      </c>
      <c r="E13" s="66" t="s">
        <v>273</v>
      </c>
      <c r="F13" s="114">
        <v>323.5</v>
      </c>
      <c r="G13" s="67">
        <v>1.7949999999999999</v>
      </c>
      <c r="H13" s="118">
        <f t="shared" si="4"/>
        <v>580.6825</v>
      </c>
      <c r="I13" s="61"/>
      <c r="J13" s="153">
        <v>0</v>
      </c>
      <c r="K13" s="153">
        <v>0</v>
      </c>
      <c r="L13" s="153">
        <v>0</v>
      </c>
      <c r="M13" s="153">
        <v>323.5</v>
      </c>
      <c r="N13" s="152">
        <f t="shared" si="0"/>
        <v>323.5</v>
      </c>
      <c r="O13" s="158">
        <f t="shared" si="1"/>
        <v>1</v>
      </c>
      <c r="P13" s="125">
        <f t="shared" si="2"/>
        <v>580.6825</v>
      </c>
      <c r="R13" s="125">
        <f t="shared" si="3"/>
        <v>0</v>
      </c>
    </row>
    <row r="14" spans="2:18" s="57" customFormat="1" ht="21.75" customHeight="1">
      <c r="B14" s="65">
        <v>9</v>
      </c>
      <c r="C14" s="104" t="s">
        <v>39</v>
      </c>
      <c r="D14" s="108" t="s">
        <v>129</v>
      </c>
      <c r="E14" s="66" t="s">
        <v>273</v>
      </c>
      <c r="F14" s="114">
        <v>3.5</v>
      </c>
      <c r="G14" s="67">
        <v>2.6560000000000001</v>
      </c>
      <c r="H14" s="118">
        <f t="shared" si="4"/>
        <v>9.2960000000000012</v>
      </c>
      <c r="I14" s="61"/>
      <c r="J14" s="153">
        <v>3.5</v>
      </c>
      <c r="K14" s="153">
        <v>0</v>
      </c>
      <c r="L14" s="153">
        <v>0</v>
      </c>
      <c r="M14" s="153">
        <v>0</v>
      </c>
      <c r="N14" s="152">
        <f t="shared" si="0"/>
        <v>3.5</v>
      </c>
      <c r="O14" s="158">
        <f t="shared" si="1"/>
        <v>1</v>
      </c>
      <c r="P14" s="125">
        <f t="shared" si="2"/>
        <v>9.2960000000000012</v>
      </c>
      <c r="R14" s="125">
        <f t="shared" si="3"/>
        <v>0</v>
      </c>
    </row>
    <row r="15" spans="2:18" s="57" customFormat="1" ht="21.75" customHeight="1">
      <c r="B15" s="65">
        <v>10</v>
      </c>
      <c r="C15" s="104" t="s">
        <v>130</v>
      </c>
      <c r="D15" s="108" t="s">
        <v>131</v>
      </c>
      <c r="E15" s="66" t="s">
        <v>273</v>
      </c>
      <c r="F15" s="114">
        <v>1697.5</v>
      </c>
      <c r="G15" s="67">
        <v>1.508</v>
      </c>
      <c r="H15" s="118">
        <f t="shared" si="4"/>
        <v>2559.83</v>
      </c>
      <c r="I15" s="61"/>
      <c r="J15" s="153">
        <v>0</v>
      </c>
      <c r="K15" s="153">
        <v>0</v>
      </c>
      <c r="L15" s="153">
        <v>0</v>
      </c>
      <c r="M15" s="153">
        <f>516+540+641.5</f>
        <v>1697.5</v>
      </c>
      <c r="N15" s="152">
        <f t="shared" si="0"/>
        <v>1697.5</v>
      </c>
      <c r="O15" s="158">
        <f t="shared" si="1"/>
        <v>1</v>
      </c>
      <c r="P15" s="125">
        <f t="shared" si="2"/>
        <v>2559.83</v>
      </c>
      <c r="R15" s="125">
        <f t="shared" si="3"/>
        <v>0</v>
      </c>
    </row>
    <row r="16" spans="2:18" s="57" customFormat="1" ht="21.75" customHeight="1">
      <c r="B16" s="65">
        <v>11</v>
      </c>
      <c r="C16" s="104" t="s">
        <v>132</v>
      </c>
      <c r="D16" s="108" t="s">
        <v>133</v>
      </c>
      <c r="E16" s="66" t="s">
        <v>273</v>
      </c>
      <c r="F16" s="114">
        <v>131</v>
      </c>
      <c r="G16" s="67">
        <v>2.1040000000000001</v>
      </c>
      <c r="H16" s="118">
        <f t="shared" si="4"/>
        <v>275.62400000000002</v>
      </c>
      <c r="I16" s="61"/>
      <c r="J16" s="153">
        <v>0</v>
      </c>
      <c r="K16" s="153">
        <v>0</v>
      </c>
      <c r="L16" s="153">
        <v>131</v>
      </c>
      <c r="M16" s="153">
        <v>0</v>
      </c>
      <c r="N16" s="152">
        <f t="shared" si="0"/>
        <v>131</v>
      </c>
      <c r="O16" s="158">
        <f t="shared" si="1"/>
        <v>1</v>
      </c>
      <c r="P16" s="125">
        <f t="shared" si="2"/>
        <v>275.62400000000002</v>
      </c>
      <c r="R16" s="125">
        <f t="shared" si="3"/>
        <v>0</v>
      </c>
    </row>
    <row r="17" spans="2:18" s="57" customFormat="1" ht="21.75" customHeight="1">
      <c r="B17" s="65">
        <v>12</v>
      </c>
      <c r="C17" s="104" t="s">
        <v>134</v>
      </c>
      <c r="D17" s="109" t="s">
        <v>135</v>
      </c>
      <c r="E17" s="66" t="s">
        <v>273</v>
      </c>
      <c r="F17" s="114">
        <v>1.5</v>
      </c>
      <c r="G17" s="67">
        <v>2.9430000000000001</v>
      </c>
      <c r="H17" s="118">
        <f t="shared" si="4"/>
        <v>4.4145000000000003</v>
      </c>
      <c r="I17" s="61"/>
      <c r="J17" s="153">
        <v>0</v>
      </c>
      <c r="K17" s="153">
        <v>0</v>
      </c>
      <c r="L17" s="153">
        <v>0</v>
      </c>
      <c r="M17" s="153">
        <v>1.5</v>
      </c>
      <c r="N17" s="152">
        <f t="shared" si="0"/>
        <v>1.5</v>
      </c>
      <c r="O17" s="158">
        <f t="shared" si="1"/>
        <v>1</v>
      </c>
      <c r="P17" s="125">
        <f t="shared" si="2"/>
        <v>4.4145000000000003</v>
      </c>
      <c r="R17" s="125">
        <f t="shared" si="3"/>
        <v>0</v>
      </c>
    </row>
    <row r="18" spans="2:18" s="57" customFormat="1" ht="21.75" customHeight="1">
      <c r="B18" s="65">
        <v>13</v>
      </c>
      <c r="C18" s="104" t="s">
        <v>41</v>
      </c>
      <c r="D18" s="109" t="s">
        <v>136</v>
      </c>
      <c r="E18" s="66" t="s">
        <v>273</v>
      </c>
      <c r="F18" s="114">
        <v>2009</v>
      </c>
      <c r="G18" s="67">
        <v>1.579</v>
      </c>
      <c r="H18" s="118">
        <f t="shared" si="4"/>
        <v>3172.2109999999998</v>
      </c>
      <c r="I18" s="61"/>
      <c r="J18" s="153">
        <v>110</v>
      </c>
      <c r="K18" s="153">
        <v>0</v>
      </c>
      <c r="L18" s="153">
        <f>684+630+252+216</f>
        <v>1782</v>
      </c>
      <c r="M18" s="265">
        <v>117</v>
      </c>
      <c r="N18" s="152">
        <f t="shared" si="0"/>
        <v>2009</v>
      </c>
      <c r="O18" s="158">
        <f t="shared" si="1"/>
        <v>1</v>
      </c>
      <c r="P18" s="125">
        <f t="shared" si="2"/>
        <v>3172.2109999999998</v>
      </c>
      <c r="R18" s="125">
        <f t="shared" si="3"/>
        <v>0</v>
      </c>
    </row>
    <row r="19" spans="2:18" s="57" customFormat="1" ht="21.75" customHeight="1">
      <c r="B19" s="65">
        <v>14</v>
      </c>
      <c r="C19" s="104" t="s">
        <v>137</v>
      </c>
      <c r="D19" s="109" t="s">
        <v>138</v>
      </c>
      <c r="E19" s="66" t="s">
        <v>273</v>
      </c>
      <c r="F19" s="114">
        <v>956</v>
      </c>
      <c r="G19" s="67">
        <v>2.44</v>
      </c>
      <c r="H19" s="118">
        <f t="shared" si="4"/>
        <v>2332.64</v>
      </c>
      <c r="I19" s="61"/>
      <c r="J19" s="153">
        <v>0</v>
      </c>
      <c r="K19" s="153">
        <v>0</v>
      </c>
      <c r="L19" s="153">
        <v>636</v>
      </c>
      <c r="M19" s="153">
        <v>320</v>
      </c>
      <c r="N19" s="152">
        <f t="shared" si="0"/>
        <v>956</v>
      </c>
      <c r="O19" s="158">
        <f t="shared" si="1"/>
        <v>1</v>
      </c>
      <c r="P19" s="125">
        <f t="shared" si="2"/>
        <v>2332.64</v>
      </c>
      <c r="R19" s="125">
        <f t="shared" si="3"/>
        <v>0</v>
      </c>
    </row>
    <row r="20" spans="2:18" s="57" customFormat="1" ht="21.75" customHeight="1">
      <c r="B20" s="65">
        <v>15</v>
      </c>
      <c r="C20" s="104" t="s">
        <v>54</v>
      </c>
      <c r="D20" s="109" t="s">
        <v>139</v>
      </c>
      <c r="E20" s="66" t="s">
        <v>273</v>
      </c>
      <c r="F20" s="114">
        <v>37.5</v>
      </c>
      <c r="G20" s="67">
        <v>3.302</v>
      </c>
      <c r="H20" s="118">
        <f t="shared" si="4"/>
        <v>123.825</v>
      </c>
      <c r="I20" s="61"/>
      <c r="J20" s="153">
        <v>37.5</v>
      </c>
      <c r="K20" s="153">
        <v>0</v>
      </c>
      <c r="L20" s="153">
        <v>0</v>
      </c>
      <c r="M20" s="153">
        <v>0</v>
      </c>
      <c r="N20" s="152">
        <f t="shared" si="0"/>
        <v>37.5</v>
      </c>
      <c r="O20" s="158">
        <f t="shared" si="1"/>
        <v>1</v>
      </c>
      <c r="P20" s="125">
        <f t="shared" si="2"/>
        <v>123.825</v>
      </c>
      <c r="R20" s="125">
        <f t="shared" si="3"/>
        <v>0</v>
      </c>
    </row>
    <row r="21" spans="2:18" s="57" customFormat="1" ht="21.75" customHeight="1">
      <c r="B21" s="65">
        <v>16</v>
      </c>
      <c r="C21" s="104" t="s">
        <v>140</v>
      </c>
      <c r="D21" s="109" t="s">
        <v>141</v>
      </c>
      <c r="E21" s="66" t="s">
        <v>273</v>
      </c>
      <c r="F21" s="114">
        <v>1.5</v>
      </c>
      <c r="G21" s="67">
        <v>4.2350000000000003</v>
      </c>
      <c r="H21" s="118">
        <f t="shared" si="4"/>
        <v>6.3525000000000009</v>
      </c>
      <c r="I21" s="61"/>
      <c r="J21" s="153">
        <v>0</v>
      </c>
      <c r="K21" s="153">
        <v>0</v>
      </c>
      <c r="L21" s="153">
        <v>0</v>
      </c>
      <c r="M21" s="153">
        <v>1.5</v>
      </c>
      <c r="N21" s="152">
        <f t="shared" si="0"/>
        <v>1.5</v>
      </c>
      <c r="O21" s="158">
        <f t="shared" si="1"/>
        <v>1</v>
      </c>
      <c r="P21" s="125">
        <f t="shared" si="2"/>
        <v>6.3525000000000009</v>
      </c>
      <c r="R21" s="125">
        <f t="shared" si="3"/>
        <v>0</v>
      </c>
    </row>
    <row r="22" spans="2:18" s="57" customFormat="1" ht="21.75" customHeight="1">
      <c r="B22" s="65">
        <v>17</v>
      </c>
      <c r="C22" s="104" t="s">
        <v>111</v>
      </c>
      <c r="D22" s="108" t="s">
        <v>142</v>
      </c>
      <c r="E22" s="66" t="s">
        <v>273</v>
      </c>
      <c r="F22" s="114">
        <v>1170.5</v>
      </c>
      <c r="G22" s="67">
        <v>2.1539999999999999</v>
      </c>
      <c r="H22" s="118">
        <f t="shared" si="4"/>
        <v>2521.2570000000001</v>
      </c>
      <c r="I22" s="61"/>
      <c r="J22" s="153">
        <v>575</v>
      </c>
      <c r="K22" s="153">
        <v>0</v>
      </c>
      <c r="L22" s="153">
        <v>96</v>
      </c>
      <c r="M22" s="153">
        <f>112+216+171.5</f>
        <v>499.5</v>
      </c>
      <c r="N22" s="152">
        <f t="shared" si="0"/>
        <v>1170.5</v>
      </c>
      <c r="O22" s="158">
        <f t="shared" si="1"/>
        <v>1</v>
      </c>
      <c r="P22" s="125">
        <f t="shared" si="2"/>
        <v>2521.2570000000001</v>
      </c>
      <c r="R22" s="125">
        <f t="shared" si="3"/>
        <v>0</v>
      </c>
    </row>
    <row r="23" spans="2:18" s="57" customFormat="1" ht="21.75" customHeight="1">
      <c r="B23" s="65">
        <v>18</v>
      </c>
      <c r="C23" s="104" t="s">
        <v>82</v>
      </c>
      <c r="D23" s="108" t="s">
        <v>143</v>
      </c>
      <c r="E23" s="66" t="s">
        <v>273</v>
      </c>
      <c r="F23" s="114">
        <v>620.5</v>
      </c>
      <c r="G23" s="67">
        <v>3.0859999999999999</v>
      </c>
      <c r="H23" s="118">
        <f t="shared" si="4"/>
        <v>1914.8629999999998</v>
      </c>
      <c r="I23" s="61"/>
      <c r="J23" s="153">
        <v>620.5</v>
      </c>
      <c r="K23" s="153">
        <v>0</v>
      </c>
      <c r="L23" s="153">
        <v>0</v>
      </c>
      <c r="M23" s="153">
        <v>0</v>
      </c>
      <c r="N23" s="152">
        <f t="shared" si="0"/>
        <v>620.5</v>
      </c>
      <c r="O23" s="158">
        <f t="shared" si="1"/>
        <v>1</v>
      </c>
      <c r="P23" s="125">
        <f t="shared" si="2"/>
        <v>1914.8629999999998</v>
      </c>
      <c r="R23" s="125">
        <f t="shared" si="3"/>
        <v>0</v>
      </c>
    </row>
    <row r="24" spans="2:18" s="57" customFormat="1" ht="21.75" customHeight="1">
      <c r="B24" s="65">
        <v>19</v>
      </c>
      <c r="C24" s="104" t="s">
        <v>144</v>
      </c>
      <c r="D24" s="108" t="s">
        <v>145</v>
      </c>
      <c r="E24" s="66" t="s">
        <v>273</v>
      </c>
      <c r="F24" s="150">
        <v>139</v>
      </c>
      <c r="G24" s="67">
        <v>4.0739999999999998</v>
      </c>
      <c r="H24" s="118">
        <f t="shared" si="4"/>
        <v>566.28599999999994</v>
      </c>
      <c r="I24" s="61"/>
      <c r="J24" s="153">
        <v>0</v>
      </c>
      <c r="K24" s="153">
        <v>139</v>
      </c>
      <c r="L24" s="153">
        <v>0</v>
      </c>
      <c r="M24" s="153">
        <v>0</v>
      </c>
      <c r="N24" s="152">
        <f t="shared" si="0"/>
        <v>139</v>
      </c>
      <c r="O24" s="158">
        <f t="shared" si="1"/>
        <v>1</v>
      </c>
      <c r="P24" s="125">
        <f t="shared" si="2"/>
        <v>566.28599999999994</v>
      </c>
      <c r="R24" s="125">
        <f t="shared" si="3"/>
        <v>0</v>
      </c>
    </row>
    <row r="25" spans="2:18" s="57" customFormat="1" ht="21.75" customHeight="1">
      <c r="B25" s="65">
        <v>20</v>
      </c>
      <c r="C25" s="104" t="s">
        <v>146</v>
      </c>
      <c r="D25" s="108" t="s">
        <v>147</v>
      </c>
      <c r="E25" s="66" t="s">
        <v>273</v>
      </c>
      <c r="F25" s="114">
        <v>76</v>
      </c>
      <c r="G25" s="67">
        <v>2.496</v>
      </c>
      <c r="H25" s="118">
        <f t="shared" si="4"/>
        <v>189.696</v>
      </c>
      <c r="I25" s="61"/>
      <c r="J25" s="153">
        <v>0</v>
      </c>
      <c r="K25" s="153">
        <v>0</v>
      </c>
      <c r="L25" s="153">
        <f>57+19</f>
        <v>76</v>
      </c>
      <c r="M25" s="153">
        <v>0</v>
      </c>
      <c r="N25" s="152">
        <f t="shared" si="0"/>
        <v>76</v>
      </c>
      <c r="O25" s="158">
        <f t="shared" si="1"/>
        <v>1</v>
      </c>
      <c r="P25" s="125">
        <f t="shared" si="2"/>
        <v>189.696</v>
      </c>
      <c r="R25" s="125">
        <f t="shared" si="3"/>
        <v>0</v>
      </c>
    </row>
    <row r="26" spans="2:18" s="57" customFormat="1" ht="21.75" customHeight="1">
      <c r="B26" s="65">
        <v>21</v>
      </c>
      <c r="C26" s="104" t="s">
        <v>148</v>
      </c>
      <c r="D26" s="108" t="s">
        <v>149</v>
      </c>
      <c r="E26" s="66" t="s">
        <v>273</v>
      </c>
      <c r="F26" s="114">
        <v>1020</v>
      </c>
      <c r="G26" s="67">
        <v>3.589</v>
      </c>
      <c r="H26" s="118">
        <f t="shared" si="4"/>
        <v>3660.7799999999997</v>
      </c>
      <c r="I26" s="61"/>
      <c r="J26" s="153">
        <v>0</v>
      </c>
      <c r="K26" s="153">
        <v>0</v>
      </c>
      <c r="L26" s="153">
        <f>540+381</f>
        <v>921</v>
      </c>
      <c r="M26" s="153">
        <v>99</v>
      </c>
      <c r="N26" s="152">
        <f t="shared" si="0"/>
        <v>1020</v>
      </c>
      <c r="O26" s="158">
        <f t="shared" si="1"/>
        <v>1</v>
      </c>
      <c r="P26" s="125">
        <f t="shared" si="2"/>
        <v>3660.7799999999997</v>
      </c>
      <c r="R26" s="125">
        <f t="shared" si="3"/>
        <v>0</v>
      </c>
    </row>
    <row r="27" spans="2:18" s="57" customFormat="1" ht="21.75" customHeight="1">
      <c r="B27" s="65">
        <v>22</v>
      </c>
      <c r="C27" s="104" t="s">
        <v>150</v>
      </c>
      <c r="D27" s="108" t="s">
        <v>151</v>
      </c>
      <c r="E27" s="66" t="s">
        <v>273</v>
      </c>
      <c r="F27" s="114">
        <v>133.5</v>
      </c>
      <c r="G27" s="67">
        <v>4.7370000000000001</v>
      </c>
      <c r="H27" s="118">
        <f t="shared" si="4"/>
        <v>632.3895</v>
      </c>
      <c r="I27" s="61"/>
      <c r="J27" s="153">
        <v>0</v>
      </c>
      <c r="K27" s="153">
        <v>0</v>
      </c>
      <c r="L27" s="153">
        <v>45</v>
      </c>
      <c r="M27" s="153">
        <v>88.5</v>
      </c>
      <c r="N27" s="152">
        <f t="shared" si="0"/>
        <v>133.5</v>
      </c>
      <c r="O27" s="158">
        <f t="shared" si="1"/>
        <v>1</v>
      </c>
      <c r="P27" s="125">
        <f t="shared" si="2"/>
        <v>632.3895</v>
      </c>
      <c r="R27" s="125">
        <f t="shared" si="3"/>
        <v>0</v>
      </c>
    </row>
    <row r="28" spans="2:18" s="57" customFormat="1" ht="21.75" customHeight="1">
      <c r="B28" s="65">
        <v>23</v>
      </c>
      <c r="C28" s="104" t="s">
        <v>152</v>
      </c>
      <c r="D28" s="108" t="s">
        <v>153</v>
      </c>
      <c r="E28" s="66" t="s">
        <v>273</v>
      </c>
      <c r="F28" s="114">
        <v>68.5</v>
      </c>
      <c r="G28" s="67">
        <v>5.9560000000000004</v>
      </c>
      <c r="H28" s="118">
        <f t="shared" si="4"/>
        <v>407.98600000000005</v>
      </c>
      <c r="I28" s="61"/>
      <c r="J28" s="153">
        <v>0</v>
      </c>
      <c r="K28" s="153">
        <v>0</v>
      </c>
      <c r="L28" s="153">
        <v>0</v>
      </c>
      <c r="M28" s="153">
        <v>68.5</v>
      </c>
      <c r="N28" s="152">
        <f t="shared" si="0"/>
        <v>68.5</v>
      </c>
      <c r="O28" s="158">
        <f t="shared" si="1"/>
        <v>1</v>
      </c>
      <c r="P28" s="125">
        <f t="shared" si="2"/>
        <v>407.98600000000005</v>
      </c>
      <c r="R28" s="125">
        <f t="shared" si="3"/>
        <v>0</v>
      </c>
    </row>
    <row r="29" spans="2:18" s="57" customFormat="1" ht="21.75" customHeight="1">
      <c r="B29" s="65">
        <v>24</v>
      </c>
      <c r="C29" s="105" t="s">
        <v>43</v>
      </c>
      <c r="D29" s="110" t="s">
        <v>154</v>
      </c>
      <c r="E29" s="66" t="s">
        <v>273</v>
      </c>
      <c r="F29" s="115">
        <v>132</v>
      </c>
      <c r="G29" s="102">
        <v>3.484</v>
      </c>
      <c r="H29" s="118">
        <f t="shared" si="4"/>
        <v>459.88799999999998</v>
      </c>
      <c r="I29" s="61"/>
      <c r="J29" s="154">
        <v>132</v>
      </c>
      <c r="K29" s="153">
        <v>0</v>
      </c>
      <c r="L29" s="153">
        <v>0</v>
      </c>
      <c r="M29" s="153">
        <v>0</v>
      </c>
      <c r="N29" s="152">
        <f t="shared" si="0"/>
        <v>132</v>
      </c>
      <c r="O29" s="158">
        <f t="shared" si="1"/>
        <v>1</v>
      </c>
      <c r="P29" s="125">
        <f t="shared" si="2"/>
        <v>459.88799999999998</v>
      </c>
      <c r="R29" s="125">
        <f t="shared" si="3"/>
        <v>0</v>
      </c>
    </row>
    <row r="30" spans="2:18" s="57" customFormat="1" ht="21.75" customHeight="1">
      <c r="B30" s="65">
        <v>25</v>
      </c>
      <c r="C30" s="104" t="s">
        <v>155</v>
      </c>
      <c r="D30" s="108" t="s">
        <v>156</v>
      </c>
      <c r="E30" s="66" t="s">
        <v>273</v>
      </c>
      <c r="F30" s="114">
        <v>1479.5</v>
      </c>
      <c r="G30" s="67">
        <v>4.88</v>
      </c>
      <c r="H30" s="118">
        <f t="shared" si="4"/>
        <v>7219.96</v>
      </c>
      <c r="I30" s="61"/>
      <c r="J30" s="153">
        <v>0</v>
      </c>
      <c r="K30" s="153">
        <v>0</v>
      </c>
      <c r="L30" s="153">
        <v>0</v>
      </c>
      <c r="M30" s="153">
        <f>354+285+139.5+220.5+102+139.5+189+50</f>
        <v>1479.5</v>
      </c>
      <c r="N30" s="152">
        <f t="shared" si="0"/>
        <v>1479.5</v>
      </c>
      <c r="O30" s="158">
        <f t="shared" si="1"/>
        <v>1</v>
      </c>
      <c r="P30" s="125">
        <f t="shared" si="2"/>
        <v>7219.96</v>
      </c>
      <c r="R30" s="125">
        <f t="shared" si="3"/>
        <v>0</v>
      </c>
    </row>
    <row r="31" spans="2:18" s="57" customFormat="1" ht="21.75" customHeight="1">
      <c r="B31" s="65">
        <v>26</v>
      </c>
      <c r="C31" s="104" t="s">
        <v>56</v>
      </c>
      <c r="D31" s="108" t="s">
        <v>157</v>
      </c>
      <c r="E31" s="66" t="s">
        <v>273</v>
      </c>
      <c r="F31" s="167">
        <v>48.5</v>
      </c>
      <c r="G31" s="67">
        <v>6.3150000000000004</v>
      </c>
      <c r="H31" s="118">
        <f t="shared" si="4"/>
        <v>306.27750000000003</v>
      </c>
      <c r="I31" s="61"/>
      <c r="J31" s="163">
        <v>48.5</v>
      </c>
      <c r="K31" s="163">
        <v>0</v>
      </c>
      <c r="L31" s="163">
        <v>0</v>
      </c>
      <c r="M31" s="163">
        <v>0</v>
      </c>
      <c r="N31" s="152">
        <f t="shared" si="0"/>
        <v>48.5</v>
      </c>
      <c r="O31" s="168">
        <f t="shared" si="1"/>
        <v>1</v>
      </c>
      <c r="P31" s="125">
        <f t="shared" si="2"/>
        <v>306.27750000000003</v>
      </c>
      <c r="R31" s="202">
        <f t="shared" si="3"/>
        <v>0</v>
      </c>
    </row>
    <row r="32" spans="2:18" s="57" customFormat="1" ht="21.75" customHeight="1">
      <c r="B32" s="65">
        <v>27</v>
      </c>
      <c r="C32" s="104" t="s">
        <v>29</v>
      </c>
      <c r="D32" s="108" t="s">
        <v>158</v>
      </c>
      <c r="E32" s="66" t="s">
        <v>273</v>
      </c>
      <c r="F32" s="114">
        <v>371</v>
      </c>
      <c r="G32" s="67">
        <v>7.8220000000000001</v>
      </c>
      <c r="H32" s="118">
        <f t="shared" si="4"/>
        <v>2901.962</v>
      </c>
      <c r="I32" s="61"/>
      <c r="J32" s="153">
        <v>371</v>
      </c>
      <c r="K32" s="153">
        <v>0</v>
      </c>
      <c r="L32" s="153">
        <v>0</v>
      </c>
      <c r="M32" s="153">
        <v>0</v>
      </c>
      <c r="N32" s="152">
        <f t="shared" si="0"/>
        <v>371</v>
      </c>
      <c r="O32" s="158">
        <f t="shared" si="1"/>
        <v>1</v>
      </c>
      <c r="P32" s="125">
        <f t="shared" si="2"/>
        <v>2901.962</v>
      </c>
      <c r="R32" s="125">
        <f t="shared" si="3"/>
        <v>0</v>
      </c>
    </row>
    <row r="33" spans="2:18" s="57" customFormat="1" ht="21.75" customHeight="1">
      <c r="B33" s="65">
        <v>28</v>
      </c>
      <c r="C33" s="104" t="s">
        <v>77</v>
      </c>
      <c r="D33" s="108" t="s">
        <v>159</v>
      </c>
      <c r="E33" s="66" t="s">
        <v>273</v>
      </c>
      <c r="F33" s="114">
        <v>440</v>
      </c>
      <c r="G33" s="67">
        <v>9.8320000000000007</v>
      </c>
      <c r="H33" s="118">
        <f t="shared" si="4"/>
        <v>4326.08</v>
      </c>
      <c r="I33" s="61"/>
      <c r="J33" s="153">
        <v>430</v>
      </c>
      <c r="K33" s="153">
        <v>0</v>
      </c>
      <c r="L33" s="153">
        <v>0</v>
      </c>
      <c r="M33" s="153">
        <v>10</v>
      </c>
      <c r="N33" s="152">
        <f t="shared" si="0"/>
        <v>440</v>
      </c>
      <c r="O33" s="158">
        <f t="shared" si="1"/>
        <v>1</v>
      </c>
      <c r="P33" s="125">
        <f t="shared" si="2"/>
        <v>4326.08</v>
      </c>
      <c r="R33" s="125">
        <f t="shared" si="3"/>
        <v>0</v>
      </c>
    </row>
    <row r="34" spans="2:18" s="57" customFormat="1" ht="21.75" customHeight="1">
      <c r="B34" s="65">
        <v>29</v>
      </c>
      <c r="C34" s="104" t="s">
        <v>160</v>
      </c>
      <c r="D34" s="108" t="s">
        <v>161</v>
      </c>
      <c r="E34" s="66" t="s">
        <v>273</v>
      </c>
      <c r="F34" s="167">
        <v>128</v>
      </c>
      <c r="G34" s="67">
        <v>6.3150000000000004</v>
      </c>
      <c r="H34" s="118">
        <f t="shared" si="4"/>
        <v>808.32</v>
      </c>
      <c r="I34" s="61"/>
      <c r="J34" s="163">
        <v>0</v>
      </c>
      <c r="K34" s="163">
        <v>0</v>
      </c>
      <c r="L34" s="163">
        <v>128</v>
      </c>
      <c r="M34" s="163">
        <v>0</v>
      </c>
      <c r="N34" s="152">
        <f t="shared" si="0"/>
        <v>128</v>
      </c>
      <c r="O34" s="168">
        <f t="shared" si="1"/>
        <v>1</v>
      </c>
      <c r="P34" s="125">
        <f t="shared" si="2"/>
        <v>808.32</v>
      </c>
      <c r="R34" s="202">
        <f t="shared" si="3"/>
        <v>0</v>
      </c>
    </row>
    <row r="35" spans="2:18" s="57" customFormat="1" ht="21.75" customHeight="1">
      <c r="B35" s="206">
        <v>30</v>
      </c>
      <c r="C35" s="207" t="s">
        <v>186</v>
      </c>
      <c r="D35" s="221" t="s">
        <v>187</v>
      </c>
      <c r="E35" s="208" t="s">
        <v>274</v>
      </c>
      <c r="F35" s="209">
        <v>132</v>
      </c>
      <c r="G35" s="210">
        <v>15.891999999999999</v>
      </c>
      <c r="H35" s="211">
        <f t="shared" si="4"/>
        <v>2097.7440000000001</v>
      </c>
      <c r="I35" s="61"/>
      <c r="J35" s="212">
        <v>0</v>
      </c>
      <c r="K35" s="212">
        <v>132</v>
      </c>
      <c r="L35" s="212">
        <v>0</v>
      </c>
      <c r="M35" s="212">
        <v>579</v>
      </c>
      <c r="N35" s="152">
        <f t="shared" si="0"/>
        <v>711</v>
      </c>
      <c r="O35" s="213">
        <f t="shared" si="1"/>
        <v>5.3863636363636367</v>
      </c>
      <c r="P35" s="214">
        <f t="shared" si="2"/>
        <v>11299.212</v>
      </c>
      <c r="R35" s="215">
        <f t="shared" si="3"/>
        <v>-9201.4679999999989</v>
      </c>
    </row>
    <row r="36" spans="2:18" s="57" customFormat="1" ht="21.75" customHeight="1">
      <c r="B36" s="65">
        <v>31</v>
      </c>
      <c r="C36" s="104" t="s">
        <v>162</v>
      </c>
      <c r="D36" s="108" t="s">
        <v>163</v>
      </c>
      <c r="E36" s="66" t="s">
        <v>273</v>
      </c>
      <c r="F36" s="114">
        <v>10</v>
      </c>
      <c r="G36" s="67">
        <v>4.3390000000000004</v>
      </c>
      <c r="H36" s="118">
        <f t="shared" si="4"/>
        <v>43.39</v>
      </c>
      <c r="I36" s="61"/>
      <c r="J36" s="153">
        <v>0</v>
      </c>
      <c r="K36" s="153">
        <v>0</v>
      </c>
      <c r="L36" s="153">
        <v>10</v>
      </c>
      <c r="M36" s="153">
        <v>0</v>
      </c>
      <c r="N36" s="152">
        <f t="shared" si="0"/>
        <v>10</v>
      </c>
      <c r="O36" s="158">
        <f t="shared" si="1"/>
        <v>1</v>
      </c>
      <c r="P36" s="125">
        <f t="shared" si="2"/>
        <v>43.39</v>
      </c>
      <c r="R36" s="125">
        <f t="shared" si="3"/>
        <v>0</v>
      </c>
    </row>
    <row r="37" spans="2:18" s="57" customFormat="1" ht="21.75" customHeight="1">
      <c r="B37" s="65">
        <v>32</v>
      </c>
      <c r="C37" s="104" t="s">
        <v>58</v>
      </c>
      <c r="D37" s="108" t="s">
        <v>164</v>
      </c>
      <c r="E37" s="66" t="s">
        <v>273</v>
      </c>
      <c r="F37" s="169">
        <f>178.5+187</f>
        <v>365.5</v>
      </c>
      <c r="G37" s="67">
        <v>7.7510000000000003</v>
      </c>
      <c r="H37" s="118">
        <f t="shared" si="4"/>
        <v>2832.9905000000003</v>
      </c>
      <c r="I37" s="61"/>
      <c r="J37" s="170">
        <v>84</v>
      </c>
      <c r="K37" s="170">
        <v>0</v>
      </c>
      <c r="L37" s="170">
        <f>20+84+34.5</f>
        <v>138.5</v>
      </c>
      <c r="M37" s="170">
        <v>143</v>
      </c>
      <c r="N37" s="152">
        <f t="shared" si="0"/>
        <v>365.5</v>
      </c>
      <c r="O37" s="171">
        <f t="shared" si="1"/>
        <v>1</v>
      </c>
      <c r="P37" s="125">
        <f t="shared" si="2"/>
        <v>2832.9905000000003</v>
      </c>
      <c r="R37" s="203">
        <f t="shared" si="3"/>
        <v>0</v>
      </c>
    </row>
    <row r="38" spans="2:18" s="57" customFormat="1" ht="21.75" customHeight="1">
      <c r="B38" s="65">
        <v>33</v>
      </c>
      <c r="C38" s="104" t="s">
        <v>165</v>
      </c>
      <c r="D38" s="108" t="s">
        <v>166</v>
      </c>
      <c r="E38" s="66" t="s">
        <v>273</v>
      </c>
      <c r="F38" s="114">
        <v>348</v>
      </c>
      <c r="G38" s="67">
        <v>9.4719999999999995</v>
      </c>
      <c r="H38" s="118">
        <f t="shared" si="4"/>
        <v>3296.2559999999999</v>
      </c>
      <c r="I38" s="61"/>
      <c r="J38" s="153">
        <v>0</v>
      </c>
      <c r="K38" s="153">
        <v>0</v>
      </c>
      <c r="L38" s="153">
        <v>0</v>
      </c>
      <c r="M38" s="153">
        <f>146+100+102</f>
        <v>348</v>
      </c>
      <c r="N38" s="152">
        <f t="shared" ref="N38:N69" si="5">SUM(J38:M38)</f>
        <v>348</v>
      </c>
      <c r="O38" s="158">
        <f t="shared" ref="O38:O69" si="6">N38/F38</f>
        <v>1</v>
      </c>
      <c r="P38" s="125">
        <f t="shared" ref="P38:P69" si="7">N38*G38</f>
        <v>3296.2559999999999</v>
      </c>
      <c r="R38" s="125">
        <f t="shared" ref="R38:R69" si="8">(F38-N38)*G38</f>
        <v>0</v>
      </c>
    </row>
    <row r="39" spans="2:18" s="57" customFormat="1" ht="21.75" customHeight="1">
      <c r="B39" s="65">
        <v>34</v>
      </c>
      <c r="C39" s="104" t="s">
        <v>167</v>
      </c>
      <c r="D39" s="108" t="s">
        <v>168</v>
      </c>
      <c r="E39" s="66" t="s">
        <v>273</v>
      </c>
      <c r="F39" s="114">
        <v>238</v>
      </c>
      <c r="G39" s="67">
        <v>11.553000000000001</v>
      </c>
      <c r="H39" s="118">
        <f t="shared" si="4"/>
        <v>2749.614</v>
      </c>
      <c r="I39" s="61"/>
      <c r="J39" s="153">
        <v>0</v>
      </c>
      <c r="K39" s="153">
        <v>0</v>
      </c>
      <c r="L39" s="153">
        <v>0</v>
      </c>
      <c r="M39" s="153">
        <f>160+78</f>
        <v>238</v>
      </c>
      <c r="N39" s="152">
        <f t="shared" si="5"/>
        <v>238</v>
      </c>
      <c r="O39" s="158">
        <f t="shared" si="6"/>
        <v>1</v>
      </c>
      <c r="P39" s="125">
        <f t="shared" si="7"/>
        <v>2749.614</v>
      </c>
      <c r="R39" s="125">
        <f t="shared" si="8"/>
        <v>0</v>
      </c>
    </row>
    <row r="40" spans="2:18" s="57" customFormat="1" ht="21.75" customHeight="1">
      <c r="B40" s="65">
        <v>35</v>
      </c>
      <c r="C40" s="104" t="s">
        <v>169</v>
      </c>
      <c r="D40" s="108" t="s">
        <v>170</v>
      </c>
      <c r="E40" s="66" t="s">
        <v>273</v>
      </c>
      <c r="F40" s="169">
        <v>0</v>
      </c>
      <c r="G40" s="67">
        <v>7.7510000000000003</v>
      </c>
      <c r="H40" s="118">
        <f t="shared" si="4"/>
        <v>0</v>
      </c>
      <c r="I40" s="61"/>
      <c r="J40" s="170">
        <v>0</v>
      </c>
      <c r="K40" s="170">
        <v>0</v>
      </c>
      <c r="L40" s="170">
        <v>0</v>
      </c>
      <c r="M40" s="170">
        <v>0</v>
      </c>
      <c r="N40" s="152">
        <f t="shared" si="5"/>
        <v>0</v>
      </c>
      <c r="O40" s="171" t="e">
        <f t="shared" si="6"/>
        <v>#DIV/0!</v>
      </c>
      <c r="P40" s="125">
        <f t="shared" si="7"/>
        <v>0</v>
      </c>
      <c r="R40" s="203">
        <f t="shared" si="8"/>
        <v>0</v>
      </c>
    </row>
    <row r="41" spans="2:18" s="57" customFormat="1" ht="21.75" customHeight="1">
      <c r="B41" s="65">
        <v>36</v>
      </c>
      <c r="C41" s="104" t="s">
        <v>186</v>
      </c>
      <c r="D41" s="108" t="s">
        <v>187</v>
      </c>
      <c r="E41" s="66" t="s">
        <v>274</v>
      </c>
      <c r="F41" s="150">
        <v>223</v>
      </c>
      <c r="G41" s="67">
        <v>15.891999999999999</v>
      </c>
      <c r="H41" s="118">
        <f t="shared" si="4"/>
        <v>3543.9159999999997</v>
      </c>
      <c r="I41" s="61"/>
      <c r="J41" s="153">
        <v>0</v>
      </c>
      <c r="K41" s="153">
        <v>223</v>
      </c>
      <c r="L41" s="153">
        <v>0</v>
      </c>
      <c r="M41" s="153">
        <v>0</v>
      </c>
      <c r="N41" s="152">
        <f t="shared" si="5"/>
        <v>223</v>
      </c>
      <c r="O41" s="158">
        <f t="shared" si="6"/>
        <v>1</v>
      </c>
      <c r="P41" s="125">
        <f t="shared" si="7"/>
        <v>3543.9159999999997</v>
      </c>
      <c r="R41" s="125">
        <f t="shared" si="8"/>
        <v>0</v>
      </c>
    </row>
    <row r="42" spans="2:18" s="57" customFormat="1" ht="21.75" customHeight="1">
      <c r="B42" s="65">
        <v>37</v>
      </c>
      <c r="C42" s="104" t="s">
        <v>171</v>
      </c>
      <c r="D42" s="108" t="s">
        <v>172</v>
      </c>
      <c r="E42" s="66" t="s">
        <v>273</v>
      </c>
      <c r="F42" s="114">
        <v>40</v>
      </c>
      <c r="G42" s="67">
        <v>5.1340000000000003</v>
      </c>
      <c r="H42" s="118">
        <f t="shared" si="4"/>
        <v>205.36</v>
      </c>
      <c r="I42" s="61"/>
      <c r="J42" s="153">
        <v>0</v>
      </c>
      <c r="K42" s="153">
        <v>0</v>
      </c>
      <c r="L42" s="153">
        <v>0</v>
      </c>
      <c r="M42" s="153">
        <v>40</v>
      </c>
      <c r="N42" s="152">
        <f t="shared" si="5"/>
        <v>40</v>
      </c>
      <c r="O42" s="158">
        <f t="shared" si="6"/>
        <v>1</v>
      </c>
      <c r="P42" s="125">
        <f t="shared" si="7"/>
        <v>205.36</v>
      </c>
      <c r="R42" s="125">
        <f t="shared" si="8"/>
        <v>0</v>
      </c>
    </row>
    <row r="43" spans="2:18" s="57" customFormat="1" ht="21.75" customHeight="1">
      <c r="B43" s="65">
        <v>38</v>
      </c>
      <c r="C43" s="104" t="s">
        <v>173</v>
      </c>
      <c r="D43" s="108" t="s">
        <v>174</v>
      </c>
      <c r="E43" s="66" t="s">
        <v>273</v>
      </c>
      <c r="F43" s="172">
        <f>102.5+241+177.5</f>
        <v>521</v>
      </c>
      <c r="G43" s="67">
        <v>9.3290000000000006</v>
      </c>
      <c r="H43" s="118">
        <f t="shared" si="4"/>
        <v>4860.4090000000006</v>
      </c>
      <c r="I43" s="61"/>
      <c r="J43" s="174">
        <v>0</v>
      </c>
      <c r="K43" s="174">
        <v>0</v>
      </c>
      <c r="L43" s="174">
        <v>0</v>
      </c>
      <c r="M43" s="174">
        <f>29+39+86+120+150+97</f>
        <v>521</v>
      </c>
      <c r="N43" s="152">
        <f t="shared" si="5"/>
        <v>521</v>
      </c>
      <c r="O43" s="175">
        <f t="shared" si="6"/>
        <v>1</v>
      </c>
      <c r="P43" s="125">
        <f t="shared" si="7"/>
        <v>4860.4090000000006</v>
      </c>
      <c r="R43" s="204">
        <f t="shared" si="8"/>
        <v>0</v>
      </c>
    </row>
    <row r="44" spans="2:18" s="57" customFormat="1" ht="21.75" customHeight="1">
      <c r="B44" s="65">
        <v>39</v>
      </c>
      <c r="C44" s="104" t="s">
        <v>175</v>
      </c>
      <c r="D44" s="108" t="s">
        <v>176</v>
      </c>
      <c r="E44" s="66" t="s">
        <v>273</v>
      </c>
      <c r="F44" s="150">
        <v>573.5</v>
      </c>
      <c r="G44" s="67">
        <v>11.266999999999999</v>
      </c>
      <c r="H44" s="118">
        <f t="shared" si="4"/>
        <v>6461.6244999999999</v>
      </c>
      <c r="I44" s="61"/>
      <c r="J44" s="153">
        <v>0</v>
      </c>
      <c r="K44" s="153">
        <v>155</v>
      </c>
      <c r="L44" s="153">
        <v>0</v>
      </c>
      <c r="M44" s="153">
        <f>37+14+77+170+40+29.5+50.5</f>
        <v>418</v>
      </c>
      <c r="N44" s="152">
        <f t="shared" si="5"/>
        <v>573</v>
      </c>
      <c r="O44" s="164">
        <f t="shared" si="6"/>
        <v>0.99912816041848296</v>
      </c>
      <c r="P44" s="125">
        <f t="shared" si="7"/>
        <v>6455.991</v>
      </c>
      <c r="R44" s="125">
        <f t="shared" si="8"/>
        <v>5.6334999999999997</v>
      </c>
    </row>
    <row r="45" spans="2:18" s="57" customFormat="1" ht="21.75" customHeight="1">
      <c r="B45" s="65">
        <v>40</v>
      </c>
      <c r="C45" s="104" t="s">
        <v>71</v>
      </c>
      <c r="D45" s="108" t="s">
        <v>177</v>
      </c>
      <c r="E45" s="66" t="s">
        <v>273</v>
      </c>
      <c r="F45" s="114">
        <v>216</v>
      </c>
      <c r="G45" s="67">
        <v>13.634</v>
      </c>
      <c r="H45" s="118">
        <f t="shared" si="4"/>
        <v>2944.944</v>
      </c>
      <c r="I45" s="61"/>
      <c r="J45" s="153">
        <v>216</v>
      </c>
      <c r="K45" s="153">
        <v>0</v>
      </c>
      <c r="L45" s="153">
        <v>0</v>
      </c>
      <c r="M45" s="153">
        <v>0</v>
      </c>
      <c r="N45" s="152">
        <f t="shared" si="5"/>
        <v>216</v>
      </c>
      <c r="O45" s="158">
        <f t="shared" si="6"/>
        <v>1</v>
      </c>
      <c r="P45" s="125">
        <f t="shared" si="7"/>
        <v>2944.944</v>
      </c>
      <c r="R45" s="125">
        <f t="shared" si="8"/>
        <v>0</v>
      </c>
    </row>
    <row r="46" spans="2:18" s="57" customFormat="1" ht="21.75" customHeight="1">
      <c r="B46" s="65">
        <v>41</v>
      </c>
      <c r="C46" s="106" t="s">
        <v>178</v>
      </c>
      <c r="D46" s="111" t="s">
        <v>179</v>
      </c>
      <c r="E46" s="66" t="s">
        <v>273</v>
      </c>
      <c r="F46" s="173">
        <f>241-241</f>
        <v>0</v>
      </c>
      <c r="G46" s="101">
        <v>9.3290000000000006</v>
      </c>
      <c r="H46" s="118">
        <f t="shared" si="4"/>
        <v>0</v>
      </c>
      <c r="I46" s="61"/>
      <c r="J46" s="179">
        <v>0</v>
      </c>
      <c r="K46" s="174">
        <v>0</v>
      </c>
      <c r="L46" s="174">
        <v>0</v>
      </c>
      <c r="M46" s="174">
        <v>0</v>
      </c>
      <c r="N46" s="152">
        <f t="shared" si="5"/>
        <v>0</v>
      </c>
      <c r="O46" s="175" t="e">
        <f t="shared" si="6"/>
        <v>#DIV/0!</v>
      </c>
      <c r="P46" s="125">
        <f t="shared" si="7"/>
        <v>0</v>
      </c>
      <c r="R46" s="204">
        <f t="shared" si="8"/>
        <v>0</v>
      </c>
    </row>
    <row r="47" spans="2:18" s="57" customFormat="1" ht="21.75" customHeight="1">
      <c r="B47" s="206">
        <v>42</v>
      </c>
      <c r="C47" s="216" t="s">
        <v>186</v>
      </c>
      <c r="D47" s="222" t="s">
        <v>187</v>
      </c>
      <c r="E47" s="208" t="s">
        <v>274</v>
      </c>
      <c r="F47" s="217">
        <v>328</v>
      </c>
      <c r="G47" s="218">
        <v>15.891999999999999</v>
      </c>
      <c r="H47" s="211">
        <f t="shared" si="4"/>
        <v>5212.576</v>
      </c>
      <c r="I47" s="61"/>
      <c r="J47" s="219">
        <v>0</v>
      </c>
      <c r="K47" s="219">
        <v>328</v>
      </c>
      <c r="L47" s="219">
        <v>0</v>
      </c>
      <c r="M47" s="219">
        <v>24</v>
      </c>
      <c r="N47" s="152">
        <f t="shared" si="5"/>
        <v>352</v>
      </c>
      <c r="O47" s="213">
        <f t="shared" si="6"/>
        <v>1.0731707317073171</v>
      </c>
      <c r="P47" s="214">
        <f t="shared" si="7"/>
        <v>5593.9839999999995</v>
      </c>
      <c r="R47" s="215">
        <f t="shared" si="8"/>
        <v>-381.40800000000002</v>
      </c>
    </row>
    <row r="48" spans="2:18" s="57" customFormat="1" ht="21.75" customHeight="1">
      <c r="B48" s="65">
        <v>43</v>
      </c>
      <c r="C48" s="106" t="s">
        <v>180</v>
      </c>
      <c r="D48" s="111" t="s">
        <v>181</v>
      </c>
      <c r="E48" s="66" t="s">
        <v>273</v>
      </c>
      <c r="F48" s="173">
        <f>177.5-177.5</f>
        <v>0</v>
      </c>
      <c r="G48" s="101">
        <v>9.3290000000000006</v>
      </c>
      <c r="H48" s="118">
        <f t="shared" si="4"/>
        <v>0</v>
      </c>
      <c r="I48" s="61"/>
      <c r="J48" s="179">
        <v>0</v>
      </c>
      <c r="K48" s="174">
        <v>0</v>
      </c>
      <c r="L48" s="174">
        <v>0</v>
      </c>
      <c r="M48" s="174">
        <v>0</v>
      </c>
      <c r="N48" s="152">
        <f t="shared" si="5"/>
        <v>0</v>
      </c>
      <c r="O48" s="175" t="e">
        <f t="shared" si="6"/>
        <v>#DIV/0!</v>
      </c>
      <c r="P48" s="125">
        <f t="shared" si="7"/>
        <v>0</v>
      </c>
      <c r="R48" s="204">
        <f t="shared" si="8"/>
        <v>0</v>
      </c>
    </row>
    <row r="49" spans="2:18" s="57" customFormat="1" ht="21.75" customHeight="1">
      <c r="B49" s="65">
        <v>44</v>
      </c>
      <c r="C49" s="106" t="s">
        <v>290</v>
      </c>
      <c r="D49" s="111" t="s">
        <v>231</v>
      </c>
      <c r="E49" s="66" t="s">
        <v>274</v>
      </c>
      <c r="F49" s="116">
        <v>253</v>
      </c>
      <c r="G49" s="101">
        <v>16.7</v>
      </c>
      <c r="H49" s="118">
        <f t="shared" si="4"/>
        <v>4225.0999999999995</v>
      </c>
      <c r="I49" s="61"/>
      <c r="J49" s="155">
        <v>0</v>
      </c>
      <c r="K49" s="155">
        <v>253</v>
      </c>
      <c r="L49" s="155">
        <v>0</v>
      </c>
      <c r="M49" s="155">
        <v>0</v>
      </c>
      <c r="N49" s="152">
        <f t="shared" si="5"/>
        <v>253</v>
      </c>
      <c r="O49" s="158">
        <f t="shared" si="6"/>
        <v>1</v>
      </c>
      <c r="P49" s="125">
        <f t="shared" si="7"/>
        <v>4225.0999999999995</v>
      </c>
      <c r="R49" s="125">
        <f t="shared" si="8"/>
        <v>0</v>
      </c>
    </row>
    <row r="50" spans="2:18" s="57" customFormat="1" ht="21.75" customHeight="1">
      <c r="B50" s="65">
        <v>45</v>
      </c>
      <c r="C50" s="106" t="s">
        <v>182</v>
      </c>
      <c r="D50" s="111" t="s">
        <v>183</v>
      </c>
      <c r="E50" s="66" t="s">
        <v>273</v>
      </c>
      <c r="F50" s="116">
        <v>1.1000000000000001</v>
      </c>
      <c r="G50" s="101">
        <v>10.888</v>
      </c>
      <c r="H50" s="118">
        <f t="shared" si="4"/>
        <v>11.976800000000001</v>
      </c>
      <c r="I50" s="61"/>
      <c r="J50" s="155">
        <v>0</v>
      </c>
      <c r="K50" s="155">
        <v>1.1000000000000001</v>
      </c>
      <c r="L50" s="155">
        <v>0</v>
      </c>
      <c r="M50" s="155">
        <v>0</v>
      </c>
      <c r="N50" s="152">
        <f t="shared" si="5"/>
        <v>1.1000000000000001</v>
      </c>
      <c r="O50" s="158">
        <f t="shared" si="6"/>
        <v>1</v>
      </c>
      <c r="P50" s="125">
        <f t="shared" si="7"/>
        <v>11.976800000000001</v>
      </c>
      <c r="R50" s="125">
        <f t="shared" si="8"/>
        <v>0</v>
      </c>
    </row>
    <row r="51" spans="2:18" s="57" customFormat="1" ht="21.75" customHeight="1">
      <c r="B51" s="65">
        <v>46</v>
      </c>
      <c r="C51" s="106" t="s">
        <v>184</v>
      </c>
      <c r="D51" s="111" t="s">
        <v>185</v>
      </c>
      <c r="E51" s="66" t="s">
        <v>273</v>
      </c>
      <c r="F51" s="116">
        <v>5.5</v>
      </c>
      <c r="G51" s="101">
        <v>7.8010000000000002</v>
      </c>
      <c r="H51" s="118">
        <f t="shared" si="4"/>
        <v>42.905500000000004</v>
      </c>
      <c r="I51" s="61"/>
      <c r="J51" s="155">
        <v>0</v>
      </c>
      <c r="K51" s="155">
        <v>5.5</v>
      </c>
      <c r="L51" s="155">
        <v>0</v>
      </c>
      <c r="M51" s="155">
        <v>0</v>
      </c>
      <c r="N51" s="152">
        <f t="shared" si="5"/>
        <v>5.5</v>
      </c>
      <c r="O51" s="158">
        <f t="shared" si="6"/>
        <v>1</v>
      </c>
      <c r="P51" s="125">
        <f t="shared" si="7"/>
        <v>42.905500000000004</v>
      </c>
      <c r="R51" s="125">
        <f t="shared" si="8"/>
        <v>0</v>
      </c>
    </row>
    <row r="52" spans="2:18" s="57" customFormat="1" ht="21.75" customHeight="1">
      <c r="B52" s="65">
        <v>47</v>
      </c>
      <c r="C52" s="106" t="s">
        <v>186</v>
      </c>
      <c r="D52" s="111" t="s">
        <v>187</v>
      </c>
      <c r="E52" s="66" t="s">
        <v>274</v>
      </c>
      <c r="F52" s="151">
        <v>87.78</v>
      </c>
      <c r="G52" s="101">
        <v>15.891999999999999</v>
      </c>
      <c r="H52" s="118">
        <f t="shared" si="4"/>
        <v>1394.9997599999999</v>
      </c>
      <c r="I52" s="61"/>
      <c r="J52" s="155">
        <v>0</v>
      </c>
      <c r="K52" s="155">
        <v>87.78</v>
      </c>
      <c r="L52" s="155">
        <v>0</v>
      </c>
      <c r="M52" s="155">
        <v>0</v>
      </c>
      <c r="N52" s="152">
        <f t="shared" si="5"/>
        <v>87.78</v>
      </c>
      <c r="O52" s="158">
        <f t="shared" si="6"/>
        <v>1</v>
      </c>
      <c r="P52" s="125">
        <f t="shared" si="7"/>
        <v>1394.9997599999999</v>
      </c>
      <c r="R52" s="125">
        <f t="shared" si="8"/>
        <v>0</v>
      </c>
    </row>
    <row r="53" spans="2:18" s="57" customFormat="1" ht="21.75" customHeight="1">
      <c r="B53" s="65">
        <v>48</v>
      </c>
      <c r="C53" s="106" t="s">
        <v>188</v>
      </c>
      <c r="D53" s="111" t="s">
        <v>189</v>
      </c>
      <c r="E53" s="66" t="s">
        <v>274</v>
      </c>
      <c r="F53" s="177">
        <f>1007.6+229.9</f>
        <v>1237.5</v>
      </c>
      <c r="G53" s="101">
        <v>17.507999999999999</v>
      </c>
      <c r="H53" s="118">
        <f t="shared" si="4"/>
        <v>21666.149999999998</v>
      </c>
      <c r="I53" s="61"/>
      <c r="J53" s="180">
        <v>0</v>
      </c>
      <c r="K53" s="180">
        <f>240+997.5</f>
        <v>1237.5</v>
      </c>
      <c r="L53" s="180">
        <v>0</v>
      </c>
      <c r="M53" s="180">
        <f>223.2+18</f>
        <v>241.2</v>
      </c>
      <c r="N53" s="152">
        <f t="shared" si="5"/>
        <v>1478.7</v>
      </c>
      <c r="O53" s="176">
        <f t="shared" si="6"/>
        <v>1.1949090909090909</v>
      </c>
      <c r="P53" s="125">
        <f t="shared" si="7"/>
        <v>25889.079600000001</v>
      </c>
      <c r="R53" s="205">
        <f t="shared" si="8"/>
        <v>-4222.9296000000004</v>
      </c>
    </row>
    <row r="54" spans="2:18" s="57" customFormat="1" ht="21.75" customHeight="1">
      <c r="B54" s="206">
        <v>49</v>
      </c>
      <c r="C54" s="216" t="s">
        <v>190</v>
      </c>
      <c r="D54" s="222" t="s">
        <v>191</v>
      </c>
      <c r="E54" s="208" t="s">
        <v>274</v>
      </c>
      <c r="F54" s="217">
        <v>1310.0999999999999</v>
      </c>
      <c r="G54" s="218">
        <v>18.315999999999999</v>
      </c>
      <c r="H54" s="211">
        <f t="shared" si="4"/>
        <v>23995.791599999997</v>
      </c>
      <c r="I54" s="61"/>
      <c r="J54" s="219">
        <v>0</v>
      </c>
      <c r="K54" s="219">
        <f>864+446.1</f>
        <v>1310.0999999999999</v>
      </c>
      <c r="L54" s="219">
        <v>0</v>
      </c>
      <c r="M54" s="219">
        <v>153.6</v>
      </c>
      <c r="N54" s="152">
        <f t="shared" si="5"/>
        <v>1463.6999999999998</v>
      </c>
      <c r="O54" s="213">
        <f t="shared" si="6"/>
        <v>1.1172429585527821</v>
      </c>
      <c r="P54" s="214">
        <f t="shared" si="7"/>
        <v>26809.129199999996</v>
      </c>
      <c r="R54" s="215">
        <f t="shared" si="8"/>
        <v>-2813.337599999998</v>
      </c>
    </row>
    <row r="55" spans="2:18" s="57" customFormat="1" ht="21.75" customHeight="1">
      <c r="B55" s="65">
        <v>50</v>
      </c>
      <c r="C55" s="106" t="s">
        <v>192</v>
      </c>
      <c r="D55" s="111" t="s">
        <v>193</v>
      </c>
      <c r="E55" s="66" t="s">
        <v>274</v>
      </c>
      <c r="F55" s="151">
        <v>1243</v>
      </c>
      <c r="G55" s="101">
        <v>19.123999999999999</v>
      </c>
      <c r="H55" s="118">
        <f t="shared" si="4"/>
        <v>23771.131999999998</v>
      </c>
      <c r="I55" s="61"/>
      <c r="J55" s="155">
        <v>0</v>
      </c>
      <c r="K55" s="155">
        <f>100.8+307.2+187+648</f>
        <v>1243</v>
      </c>
      <c r="L55" s="155">
        <v>0</v>
      </c>
      <c r="M55" s="155">
        <v>0</v>
      </c>
      <c r="N55" s="152">
        <f t="shared" si="5"/>
        <v>1243</v>
      </c>
      <c r="O55" s="158">
        <f t="shared" si="6"/>
        <v>1</v>
      </c>
      <c r="P55" s="125">
        <f t="shared" si="7"/>
        <v>23771.131999999998</v>
      </c>
      <c r="R55" s="125">
        <f t="shared" si="8"/>
        <v>0</v>
      </c>
    </row>
    <row r="56" spans="2:18" s="57" customFormat="1" ht="21.75" customHeight="1">
      <c r="B56" s="65">
        <v>51</v>
      </c>
      <c r="C56" s="106" t="s">
        <v>194</v>
      </c>
      <c r="D56" s="111" t="s">
        <v>195</v>
      </c>
      <c r="E56" s="66" t="s">
        <v>274</v>
      </c>
      <c r="F56" s="116">
        <v>403.7</v>
      </c>
      <c r="G56" s="101">
        <v>19.931999999999999</v>
      </c>
      <c r="H56" s="118">
        <f t="shared" si="4"/>
        <v>8046.5483999999988</v>
      </c>
      <c r="I56" s="61"/>
      <c r="J56" s="155">
        <v>0</v>
      </c>
      <c r="K56" s="155">
        <v>403.7</v>
      </c>
      <c r="L56" s="155">
        <v>0</v>
      </c>
      <c r="M56" s="155">
        <v>0</v>
      </c>
      <c r="N56" s="152">
        <f t="shared" si="5"/>
        <v>403.7</v>
      </c>
      <c r="O56" s="158">
        <f t="shared" si="6"/>
        <v>1</v>
      </c>
      <c r="P56" s="125">
        <f t="shared" si="7"/>
        <v>8046.5483999999988</v>
      </c>
      <c r="R56" s="125">
        <f t="shared" si="8"/>
        <v>0</v>
      </c>
    </row>
    <row r="57" spans="2:18" s="57" customFormat="1" ht="21.75" customHeight="1">
      <c r="B57" s="206">
        <v>52</v>
      </c>
      <c r="C57" s="216" t="s">
        <v>196</v>
      </c>
      <c r="D57" s="222" t="s">
        <v>197</v>
      </c>
      <c r="E57" s="208" t="s">
        <v>274</v>
      </c>
      <c r="F57" s="217">
        <v>822.8</v>
      </c>
      <c r="G57" s="218">
        <v>20.74</v>
      </c>
      <c r="H57" s="211">
        <f t="shared" si="4"/>
        <v>17064.871999999999</v>
      </c>
      <c r="I57" s="61"/>
      <c r="J57" s="219">
        <v>0</v>
      </c>
      <c r="K57" s="219">
        <f>648+174.84-0.04</f>
        <v>822.80000000000007</v>
      </c>
      <c r="L57" s="219">
        <v>0</v>
      </c>
      <c r="M57" s="219">
        <v>211</v>
      </c>
      <c r="N57" s="152">
        <f t="shared" si="5"/>
        <v>1033.8000000000002</v>
      </c>
      <c r="O57" s="213">
        <f t="shared" si="6"/>
        <v>1.256441419543024</v>
      </c>
      <c r="P57" s="214">
        <f t="shared" si="7"/>
        <v>21441.012000000002</v>
      </c>
      <c r="R57" s="215">
        <f t="shared" si="8"/>
        <v>-4376.140000000004</v>
      </c>
    </row>
    <row r="58" spans="2:18" s="57" customFormat="1" ht="21.75" customHeight="1">
      <c r="B58" s="65">
        <v>53</v>
      </c>
      <c r="C58" s="106" t="s">
        <v>198</v>
      </c>
      <c r="D58" s="111" t="s">
        <v>199</v>
      </c>
      <c r="E58" s="66" t="s">
        <v>274</v>
      </c>
      <c r="F58" s="116">
        <v>11.88</v>
      </c>
      <c r="G58" s="101">
        <v>21.547999999999998</v>
      </c>
      <c r="H58" s="118">
        <f t="shared" si="4"/>
        <v>255.99024</v>
      </c>
      <c r="I58" s="61"/>
      <c r="J58" s="155">
        <v>0</v>
      </c>
      <c r="K58" s="155">
        <v>11.88</v>
      </c>
      <c r="L58" s="155">
        <v>0</v>
      </c>
      <c r="M58" s="155">
        <v>0</v>
      </c>
      <c r="N58" s="152">
        <f t="shared" si="5"/>
        <v>11.88</v>
      </c>
      <c r="O58" s="158">
        <f t="shared" si="6"/>
        <v>1</v>
      </c>
      <c r="P58" s="125">
        <f t="shared" si="7"/>
        <v>255.99024</v>
      </c>
      <c r="R58" s="125">
        <f t="shared" si="8"/>
        <v>0</v>
      </c>
    </row>
    <row r="59" spans="2:18" s="57" customFormat="1" ht="21.75" customHeight="1">
      <c r="B59" s="65">
        <v>54</v>
      </c>
      <c r="C59" s="106" t="s">
        <v>200</v>
      </c>
      <c r="D59" s="111" t="s">
        <v>201</v>
      </c>
      <c r="E59" s="66" t="s">
        <v>274</v>
      </c>
      <c r="F59" s="177">
        <f>229.9-229.9</f>
        <v>0</v>
      </c>
      <c r="G59" s="101">
        <v>17.507999999999999</v>
      </c>
      <c r="H59" s="118">
        <f t="shared" si="4"/>
        <v>0</v>
      </c>
      <c r="I59" s="61"/>
      <c r="J59" s="180">
        <v>0</v>
      </c>
      <c r="K59" s="178">
        <v>0</v>
      </c>
      <c r="L59" s="178">
        <v>0</v>
      </c>
      <c r="M59" s="178">
        <v>0</v>
      </c>
      <c r="N59" s="152">
        <f t="shared" si="5"/>
        <v>0</v>
      </c>
      <c r="O59" s="176" t="e">
        <f t="shared" si="6"/>
        <v>#DIV/0!</v>
      </c>
      <c r="P59" s="125">
        <f t="shared" si="7"/>
        <v>0</v>
      </c>
      <c r="R59" s="205">
        <f t="shared" si="8"/>
        <v>0</v>
      </c>
    </row>
    <row r="60" spans="2:18" s="57" customFormat="1" ht="21.75" customHeight="1">
      <c r="B60" s="206">
        <v>55</v>
      </c>
      <c r="C60" s="216" t="s">
        <v>190</v>
      </c>
      <c r="D60" s="222" t="s">
        <v>191</v>
      </c>
      <c r="E60" s="208" t="s">
        <v>274</v>
      </c>
      <c r="F60" s="217">
        <v>229.9</v>
      </c>
      <c r="G60" s="218">
        <v>18.315999999999999</v>
      </c>
      <c r="H60" s="211">
        <f t="shared" si="4"/>
        <v>4210.8483999999999</v>
      </c>
      <c r="I60" s="61"/>
      <c r="J60" s="219">
        <v>0</v>
      </c>
      <c r="K60" s="219">
        <f>230.7-0.8</f>
        <v>229.89999999999998</v>
      </c>
      <c r="L60" s="219">
        <v>0</v>
      </c>
      <c r="M60" s="219">
        <v>280.8</v>
      </c>
      <c r="N60" s="152">
        <f t="shared" si="5"/>
        <v>510.7</v>
      </c>
      <c r="O60" s="213">
        <f t="shared" si="6"/>
        <v>2.2214006089604177</v>
      </c>
      <c r="P60" s="214">
        <f t="shared" si="7"/>
        <v>9353.9811999999984</v>
      </c>
      <c r="R60" s="215">
        <f t="shared" si="8"/>
        <v>-5143.1327999999985</v>
      </c>
    </row>
    <row r="61" spans="2:18" s="57" customFormat="1" ht="21.75" customHeight="1">
      <c r="B61" s="65">
        <v>56</v>
      </c>
      <c r="C61" s="106" t="s">
        <v>87</v>
      </c>
      <c r="D61" s="111" t="s">
        <v>202</v>
      </c>
      <c r="E61" s="66" t="s">
        <v>274</v>
      </c>
      <c r="F61" s="116">
        <v>5869.6</v>
      </c>
      <c r="G61" s="101">
        <v>11.313000000000001</v>
      </c>
      <c r="H61" s="118">
        <f t="shared" si="4"/>
        <v>66402.784800000009</v>
      </c>
      <c r="I61" s="61"/>
      <c r="J61" s="155">
        <v>5869.6009999999997</v>
      </c>
      <c r="K61" s="153">
        <v>0</v>
      </c>
      <c r="L61" s="153">
        <v>0</v>
      </c>
      <c r="M61" s="153">
        <v>0</v>
      </c>
      <c r="N61" s="152">
        <f t="shared" si="5"/>
        <v>5869.6009999999997</v>
      </c>
      <c r="O61" s="158">
        <f t="shared" si="6"/>
        <v>1.0000001703693606</v>
      </c>
      <c r="P61" s="125">
        <f t="shared" si="7"/>
        <v>66402.796113000004</v>
      </c>
      <c r="R61" s="125">
        <f t="shared" si="8"/>
        <v>-1.1312999992015649E-2</v>
      </c>
    </row>
    <row r="62" spans="2:18" s="57" customFormat="1" ht="21.75" customHeight="1">
      <c r="B62" s="65">
        <v>57</v>
      </c>
      <c r="C62" s="106" t="s">
        <v>63</v>
      </c>
      <c r="D62" s="111" t="s">
        <v>203</v>
      </c>
      <c r="E62" s="66" t="s">
        <v>274</v>
      </c>
      <c r="F62" s="116">
        <v>6906.9</v>
      </c>
      <c r="G62" s="101">
        <v>15.084</v>
      </c>
      <c r="H62" s="118">
        <f t="shared" si="4"/>
        <v>104183.67959999999</v>
      </c>
      <c r="I62" s="61"/>
      <c r="J62" s="155">
        <v>6906.9</v>
      </c>
      <c r="K62" s="153">
        <v>0</v>
      </c>
      <c r="L62" s="153">
        <v>0</v>
      </c>
      <c r="M62" s="153">
        <v>0</v>
      </c>
      <c r="N62" s="152">
        <f t="shared" si="5"/>
        <v>6906.9</v>
      </c>
      <c r="O62" s="158">
        <f t="shared" si="6"/>
        <v>1</v>
      </c>
      <c r="P62" s="125">
        <f t="shared" si="7"/>
        <v>104183.67959999999</v>
      </c>
      <c r="R62" s="125">
        <f t="shared" si="8"/>
        <v>0</v>
      </c>
    </row>
    <row r="63" spans="2:18" s="57" customFormat="1" ht="21.75" customHeight="1">
      <c r="B63" s="65">
        <v>58</v>
      </c>
      <c r="C63" s="106" t="s">
        <v>66</v>
      </c>
      <c r="D63" s="111" t="s">
        <v>204</v>
      </c>
      <c r="E63" s="66" t="s">
        <v>274</v>
      </c>
      <c r="F63" s="116">
        <v>2156</v>
      </c>
      <c r="G63" s="101">
        <v>18.855</v>
      </c>
      <c r="H63" s="118">
        <f t="shared" si="4"/>
        <v>40651.379999999997</v>
      </c>
      <c r="I63" s="61"/>
      <c r="J63" s="155">
        <v>2156</v>
      </c>
      <c r="K63" s="153">
        <v>0</v>
      </c>
      <c r="L63" s="153">
        <v>0</v>
      </c>
      <c r="M63" s="153">
        <v>0</v>
      </c>
      <c r="N63" s="152">
        <f t="shared" si="5"/>
        <v>2156</v>
      </c>
      <c r="O63" s="158">
        <f t="shared" si="6"/>
        <v>1</v>
      </c>
      <c r="P63" s="125">
        <f t="shared" si="7"/>
        <v>40651.379999999997</v>
      </c>
      <c r="R63" s="125">
        <f t="shared" si="8"/>
        <v>0</v>
      </c>
    </row>
    <row r="64" spans="2:18" s="57" customFormat="1" ht="21.75" customHeight="1">
      <c r="B64" s="65">
        <v>59</v>
      </c>
      <c r="C64" s="106" t="s">
        <v>90</v>
      </c>
      <c r="D64" s="111" t="s">
        <v>205</v>
      </c>
      <c r="E64" s="66" t="s">
        <v>265</v>
      </c>
      <c r="F64" s="116">
        <v>1</v>
      </c>
      <c r="G64" s="101"/>
      <c r="H64" s="118">
        <f t="shared" si="4"/>
        <v>0</v>
      </c>
      <c r="I64" s="61"/>
      <c r="J64" s="155">
        <v>0</v>
      </c>
      <c r="K64" s="153">
        <v>0</v>
      </c>
      <c r="L64" s="153">
        <v>0</v>
      </c>
      <c r="M64" s="153">
        <v>0</v>
      </c>
      <c r="N64" s="152">
        <f t="shared" si="5"/>
        <v>0</v>
      </c>
      <c r="O64" s="164">
        <f t="shared" si="6"/>
        <v>0</v>
      </c>
      <c r="P64" s="125">
        <f t="shared" si="7"/>
        <v>0</v>
      </c>
      <c r="R64" s="125">
        <f t="shared" si="8"/>
        <v>0</v>
      </c>
    </row>
    <row r="65" spans="2:18" s="57" customFormat="1" ht="21.75" customHeight="1">
      <c r="B65" s="65">
        <v>60</v>
      </c>
      <c r="C65" s="106" t="s">
        <v>207</v>
      </c>
      <c r="D65" s="111" t="s">
        <v>208</v>
      </c>
      <c r="E65" s="66" t="s">
        <v>273</v>
      </c>
      <c r="F65" s="116">
        <v>1.1000000000000001</v>
      </c>
      <c r="G65" s="101">
        <v>6.3410000000000002</v>
      </c>
      <c r="H65" s="118">
        <f t="shared" si="4"/>
        <v>6.9751000000000012</v>
      </c>
      <c r="I65" s="61"/>
      <c r="J65" s="155">
        <v>0</v>
      </c>
      <c r="K65" s="155">
        <v>1.1000000000000001</v>
      </c>
      <c r="L65" s="155">
        <v>0</v>
      </c>
      <c r="M65" s="155">
        <v>0</v>
      </c>
      <c r="N65" s="152">
        <f t="shared" si="5"/>
        <v>1.1000000000000001</v>
      </c>
      <c r="O65" s="158">
        <f t="shared" si="6"/>
        <v>1</v>
      </c>
      <c r="P65" s="125">
        <f t="shared" si="7"/>
        <v>6.9751000000000012</v>
      </c>
      <c r="R65" s="125">
        <f t="shared" si="8"/>
        <v>0</v>
      </c>
    </row>
    <row r="66" spans="2:18" s="57" customFormat="1" ht="21.75" customHeight="1">
      <c r="B66" s="65">
        <v>61</v>
      </c>
      <c r="C66" s="106" t="s">
        <v>209</v>
      </c>
      <c r="D66" s="111" t="s">
        <v>210</v>
      </c>
      <c r="E66" s="66" t="s">
        <v>273</v>
      </c>
      <c r="F66" s="116">
        <v>20.9</v>
      </c>
      <c r="G66" s="101">
        <v>6.95</v>
      </c>
      <c r="H66" s="118">
        <f t="shared" si="4"/>
        <v>145.255</v>
      </c>
      <c r="I66" s="61"/>
      <c r="J66" s="155">
        <v>0</v>
      </c>
      <c r="K66" s="155">
        <v>20.9</v>
      </c>
      <c r="L66" s="155">
        <v>0</v>
      </c>
      <c r="M66" s="155">
        <v>0</v>
      </c>
      <c r="N66" s="152">
        <f t="shared" si="5"/>
        <v>20.9</v>
      </c>
      <c r="O66" s="158">
        <f t="shared" si="6"/>
        <v>1</v>
      </c>
      <c r="P66" s="125">
        <f t="shared" si="7"/>
        <v>145.255</v>
      </c>
      <c r="R66" s="125">
        <f t="shared" si="8"/>
        <v>0</v>
      </c>
    </row>
    <row r="67" spans="2:18" s="57" customFormat="1" ht="21.75" customHeight="1">
      <c r="B67" s="65">
        <v>62</v>
      </c>
      <c r="C67" s="106" t="s">
        <v>211</v>
      </c>
      <c r="D67" s="111" t="s">
        <v>212</v>
      </c>
      <c r="E67" s="66" t="s">
        <v>273</v>
      </c>
      <c r="F67" s="116">
        <v>8.8000000000000007</v>
      </c>
      <c r="G67" s="101">
        <v>9.6270000000000007</v>
      </c>
      <c r="H67" s="118">
        <f t="shared" si="4"/>
        <v>84.717600000000019</v>
      </c>
      <c r="I67" s="61"/>
      <c r="J67" s="155">
        <v>0</v>
      </c>
      <c r="K67" s="155">
        <v>8.8000000000000007</v>
      </c>
      <c r="L67" s="155">
        <v>0</v>
      </c>
      <c r="M67" s="155">
        <v>0</v>
      </c>
      <c r="N67" s="152">
        <f t="shared" si="5"/>
        <v>8.8000000000000007</v>
      </c>
      <c r="O67" s="158">
        <f t="shared" si="6"/>
        <v>1</v>
      </c>
      <c r="P67" s="125">
        <f t="shared" si="7"/>
        <v>84.717600000000019</v>
      </c>
      <c r="R67" s="125">
        <f t="shared" si="8"/>
        <v>0</v>
      </c>
    </row>
    <row r="68" spans="2:18" s="57" customFormat="1" ht="21.75" customHeight="1">
      <c r="B68" s="65">
        <v>63</v>
      </c>
      <c r="C68" s="106" t="s">
        <v>213</v>
      </c>
      <c r="D68" s="111" t="s">
        <v>214</v>
      </c>
      <c r="E68" s="66" t="s">
        <v>273</v>
      </c>
      <c r="F68" s="116">
        <v>1.1000000000000001</v>
      </c>
      <c r="G68" s="101">
        <v>14.464</v>
      </c>
      <c r="H68" s="118">
        <f t="shared" si="4"/>
        <v>15.910400000000001</v>
      </c>
      <c r="I68" s="61"/>
      <c r="J68" s="155">
        <v>0</v>
      </c>
      <c r="K68" s="155">
        <v>1.1000000000000001</v>
      </c>
      <c r="L68" s="155">
        <v>0</v>
      </c>
      <c r="M68" s="155">
        <v>0</v>
      </c>
      <c r="N68" s="152">
        <f t="shared" si="5"/>
        <v>1.1000000000000001</v>
      </c>
      <c r="O68" s="158">
        <f t="shared" si="6"/>
        <v>1</v>
      </c>
      <c r="P68" s="125">
        <f t="shared" si="7"/>
        <v>15.910400000000001</v>
      </c>
      <c r="R68" s="125">
        <f t="shared" si="8"/>
        <v>0</v>
      </c>
    </row>
    <row r="69" spans="2:18" s="57" customFormat="1" ht="21.75" customHeight="1">
      <c r="B69" s="65">
        <v>64</v>
      </c>
      <c r="C69" s="106" t="s">
        <v>215</v>
      </c>
      <c r="D69" s="111" t="s">
        <v>216</v>
      </c>
      <c r="E69" s="66" t="s">
        <v>273</v>
      </c>
      <c r="F69" s="116">
        <v>2.2000000000000002</v>
      </c>
      <c r="G69" s="101">
        <v>12.023999999999999</v>
      </c>
      <c r="H69" s="118">
        <f t="shared" si="4"/>
        <v>26.4528</v>
      </c>
      <c r="I69" s="61"/>
      <c r="J69" s="155">
        <v>0</v>
      </c>
      <c r="K69" s="155">
        <v>2.2000000000000002</v>
      </c>
      <c r="L69" s="155">
        <v>0</v>
      </c>
      <c r="M69" s="155">
        <v>0</v>
      </c>
      <c r="N69" s="152">
        <f t="shared" si="5"/>
        <v>2.2000000000000002</v>
      </c>
      <c r="O69" s="158">
        <f t="shared" si="6"/>
        <v>1</v>
      </c>
      <c r="P69" s="125">
        <f t="shared" si="7"/>
        <v>26.4528</v>
      </c>
      <c r="R69" s="125">
        <f t="shared" si="8"/>
        <v>0</v>
      </c>
    </row>
    <row r="70" spans="2:18" s="57" customFormat="1" ht="21.75" customHeight="1">
      <c r="B70" s="65">
        <v>65</v>
      </c>
      <c r="C70" s="106" t="s">
        <v>217</v>
      </c>
      <c r="D70" s="111" t="s">
        <v>218</v>
      </c>
      <c r="E70" s="66" t="s">
        <v>273</v>
      </c>
      <c r="F70" s="116">
        <v>908.6</v>
      </c>
      <c r="G70" s="101">
        <v>11.092000000000001</v>
      </c>
      <c r="H70" s="118">
        <f t="shared" si="4"/>
        <v>10078.191200000001</v>
      </c>
      <c r="I70" s="61"/>
      <c r="J70" s="155">
        <v>0</v>
      </c>
      <c r="K70" s="155">
        <v>908.6</v>
      </c>
      <c r="L70" s="155">
        <v>0</v>
      </c>
      <c r="M70" s="155">
        <v>0</v>
      </c>
      <c r="N70" s="152">
        <f t="shared" ref="N70:N90" si="9">SUM(J70:M70)</f>
        <v>908.6</v>
      </c>
      <c r="O70" s="158">
        <f t="shared" ref="O70:O90" si="10">N70/F70</f>
        <v>1</v>
      </c>
      <c r="P70" s="125">
        <f t="shared" ref="P70:P90" si="11">N70*G70</f>
        <v>10078.191200000001</v>
      </c>
      <c r="R70" s="125">
        <f t="shared" ref="R70:R90" si="12">(F70-N70)*G70</f>
        <v>0</v>
      </c>
    </row>
    <row r="71" spans="2:18" s="57" customFormat="1" ht="21.75" customHeight="1">
      <c r="B71" s="65">
        <v>66</v>
      </c>
      <c r="C71" s="106" t="s">
        <v>219</v>
      </c>
      <c r="D71" s="111" t="s">
        <v>220</v>
      </c>
      <c r="E71" s="66" t="s">
        <v>273</v>
      </c>
      <c r="F71" s="116">
        <v>193.6</v>
      </c>
      <c r="G71" s="101">
        <v>14.625999999999999</v>
      </c>
      <c r="H71" s="118">
        <f t="shared" si="4"/>
        <v>2831.5935999999997</v>
      </c>
      <c r="I71" s="61"/>
      <c r="J71" s="155">
        <v>0</v>
      </c>
      <c r="K71" s="155">
        <v>193.6</v>
      </c>
      <c r="L71" s="155">
        <v>0</v>
      </c>
      <c r="M71" s="155">
        <v>0</v>
      </c>
      <c r="N71" s="152">
        <f t="shared" si="9"/>
        <v>193.6</v>
      </c>
      <c r="O71" s="158">
        <f t="shared" si="10"/>
        <v>1</v>
      </c>
      <c r="P71" s="125">
        <f t="shared" si="11"/>
        <v>2831.5935999999997</v>
      </c>
      <c r="R71" s="125">
        <f t="shared" si="12"/>
        <v>0</v>
      </c>
    </row>
    <row r="72" spans="2:18" s="57" customFormat="1" ht="21.75" customHeight="1">
      <c r="B72" s="65">
        <v>67</v>
      </c>
      <c r="C72" s="106" t="s">
        <v>221</v>
      </c>
      <c r="D72" s="111" t="s">
        <v>222</v>
      </c>
      <c r="E72" s="66" t="s">
        <v>273</v>
      </c>
      <c r="F72" s="116">
        <v>85.8</v>
      </c>
      <c r="G72" s="101">
        <v>21.123000000000001</v>
      </c>
      <c r="H72" s="118">
        <f t="shared" ref="H72:H90" si="13">F72*G72</f>
        <v>1812.3534</v>
      </c>
      <c r="I72" s="61"/>
      <c r="J72" s="155">
        <v>0</v>
      </c>
      <c r="K72" s="155">
        <v>85.8</v>
      </c>
      <c r="L72" s="155">
        <v>0</v>
      </c>
      <c r="M72" s="155">
        <v>0</v>
      </c>
      <c r="N72" s="152">
        <f t="shared" si="9"/>
        <v>85.8</v>
      </c>
      <c r="O72" s="158">
        <f t="shared" si="10"/>
        <v>1</v>
      </c>
      <c r="P72" s="125">
        <f t="shared" si="11"/>
        <v>1812.3534</v>
      </c>
      <c r="R72" s="125">
        <f t="shared" si="12"/>
        <v>0</v>
      </c>
    </row>
    <row r="73" spans="2:18" s="57" customFormat="1" ht="21.75" customHeight="1">
      <c r="B73" s="65">
        <v>68</v>
      </c>
      <c r="C73" s="106" t="s">
        <v>223</v>
      </c>
      <c r="D73" s="111" t="s">
        <v>224</v>
      </c>
      <c r="E73" s="66" t="s">
        <v>273</v>
      </c>
      <c r="F73" s="116">
        <v>34.1</v>
      </c>
      <c r="G73" s="101">
        <v>25.184000000000001</v>
      </c>
      <c r="H73" s="118">
        <f t="shared" si="13"/>
        <v>858.77440000000013</v>
      </c>
      <c r="I73" s="61"/>
      <c r="J73" s="155">
        <v>0</v>
      </c>
      <c r="K73" s="155">
        <v>34.1</v>
      </c>
      <c r="L73" s="155">
        <v>0</v>
      </c>
      <c r="M73" s="155">
        <v>0</v>
      </c>
      <c r="N73" s="152">
        <f t="shared" si="9"/>
        <v>34.1</v>
      </c>
      <c r="O73" s="158">
        <f t="shared" si="10"/>
        <v>1</v>
      </c>
      <c r="P73" s="125">
        <f t="shared" si="11"/>
        <v>858.77440000000013</v>
      </c>
      <c r="R73" s="125">
        <f t="shared" si="12"/>
        <v>0</v>
      </c>
    </row>
    <row r="74" spans="2:18" s="57" customFormat="1" ht="21.75" customHeight="1">
      <c r="B74" s="65">
        <v>69</v>
      </c>
      <c r="C74" s="106" t="s">
        <v>225</v>
      </c>
      <c r="D74" s="111" t="s">
        <v>226</v>
      </c>
      <c r="E74" s="66" t="s">
        <v>273</v>
      </c>
      <c r="F74" s="116">
        <v>38.5</v>
      </c>
      <c r="G74" s="101">
        <v>33.512999999999998</v>
      </c>
      <c r="H74" s="118">
        <f t="shared" si="13"/>
        <v>1290.2504999999999</v>
      </c>
      <c r="I74" s="61"/>
      <c r="J74" s="155">
        <v>0</v>
      </c>
      <c r="K74" s="155">
        <f>38.58-0.08</f>
        <v>38.5</v>
      </c>
      <c r="L74" s="155">
        <v>0</v>
      </c>
      <c r="M74" s="155">
        <v>0</v>
      </c>
      <c r="N74" s="152">
        <f t="shared" si="9"/>
        <v>38.5</v>
      </c>
      <c r="O74" s="158">
        <f t="shared" si="10"/>
        <v>1</v>
      </c>
      <c r="P74" s="125">
        <f t="shared" si="11"/>
        <v>1290.2504999999999</v>
      </c>
      <c r="R74" s="125">
        <f t="shared" si="12"/>
        <v>0</v>
      </c>
    </row>
    <row r="75" spans="2:18" s="57" customFormat="1" ht="21.75" customHeight="1">
      <c r="B75" s="65">
        <v>70</v>
      </c>
      <c r="C75" s="106" t="s">
        <v>291</v>
      </c>
      <c r="D75" s="111" t="s">
        <v>228</v>
      </c>
      <c r="E75" s="66" t="s">
        <v>273</v>
      </c>
      <c r="F75" s="116">
        <v>125.4</v>
      </c>
      <c r="G75" s="101">
        <v>56.052</v>
      </c>
      <c r="H75" s="118">
        <f t="shared" si="13"/>
        <v>7028.9207999999999</v>
      </c>
      <c r="I75" s="61"/>
      <c r="J75" s="155">
        <v>0</v>
      </c>
      <c r="K75" s="155">
        <v>125.4</v>
      </c>
      <c r="L75" s="155">
        <v>0</v>
      </c>
      <c r="M75" s="155">
        <v>0</v>
      </c>
      <c r="N75" s="152">
        <f t="shared" si="9"/>
        <v>125.4</v>
      </c>
      <c r="O75" s="158">
        <f t="shared" si="10"/>
        <v>1</v>
      </c>
      <c r="P75" s="125">
        <f t="shared" si="11"/>
        <v>7028.9207999999999</v>
      </c>
      <c r="R75" s="125">
        <f t="shared" si="12"/>
        <v>0</v>
      </c>
    </row>
    <row r="76" spans="2:18" s="57" customFormat="1" ht="21.75" customHeight="1">
      <c r="B76" s="65">
        <v>71</v>
      </c>
      <c r="C76" s="106" t="s">
        <v>229</v>
      </c>
      <c r="D76" s="112" t="s">
        <v>230</v>
      </c>
      <c r="E76" s="66" t="s">
        <v>273</v>
      </c>
      <c r="F76" s="116">
        <v>39.6</v>
      </c>
      <c r="G76" s="101">
        <v>44.68</v>
      </c>
      <c r="H76" s="118">
        <f t="shared" si="13"/>
        <v>1769.328</v>
      </c>
      <c r="I76" s="61"/>
      <c r="J76" s="155">
        <v>0</v>
      </c>
      <c r="K76" s="155">
        <v>39.6</v>
      </c>
      <c r="L76" s="155">
        <v>0</v>
      </c>
      <c r="M76" s="155">
        <v>0</v>
      </c>
      <c r="N76" s="152">
        <f t="shared" si="9"/>
        <v>39.6</v>
      </c>
      <c r="O76" s="158">
        <f t="shared" si="10"/>
        <v>1</v>
      </c>
      <c r="P76" s="125">
        <f t="shared" si="11"/>
        <v>1769.328</v>
      </c>
      <c r="R76" s="125">
        <f t="shared" si="12"/>
        <v>0</v>
      </c>
    </row>
    <row r="77" spans="2:18" s="57" customFormat="1" ht="21.75" customHeight="1">
      <c r="B77" s="65">
        <v>72</v>
      </c>
      <c r="C77" s="106" t="s">
        <v>91</v>
      </c>
      <c r="D77" s="112" t="s">
        <v>233</v>
      </c>
      <c r="E77" s="66" t="s">
        <v>273</v>
      </c>
      <c r="F77" s="116">
        <v>43500</v>
      </c>
      <c r="G77" s="101">
        <v>0.61</v>
      </c>
      <c r="H77" s="118">
        <f t="shared" si="13"/>
        <v>26535</v>
      </c>
      <c r="I77" s="61"/>
      <c r="J77" s="155">
        <v>43500</v>
      </c>
      <c r="K77" s="153">
        <v>0</v>
      </c>
      <c r="L77" s="153">
        <v>0</v>
      </c>
      <c r="M77" s="153">
        <v>0</v>
      </c>
      <c r="N77" s="152">
        <f t="shared" si="9"/>
        <v>43500</v>
      </c>
      <c r="O77" s="158">
        <f t="shared" si="10"/>
        <v>1</v>
      </c>
      <c r="P77" s="125">
        <f t="shared" si="11"/>
        <v>26535</v>
      </c>
      <c r="R77" s="125">
        <f t="shared" si="12"/>
        <v>0</v>
      </c>
    </row>
    <row r="78" spans="2:18" s="57" customFormat="1" ht="21.75" customHeight="1">
      <c r="B78" s="65">
        <v>73</v>
      </c>
      <c r="C78" s="106" t="s">
        <v>91</v>
      </c>
      <c r="D78" s="112" t="s">
        <v>234</v>
      </c>
      <c r="E78" s="66" t="s">
        <v>273</v>
      </c>
      <c r="F78" s="116">
        <v>13000</v>
      </c>
      <c r="G78" s="101">
        <v>1</v>
      </c>
      <c r="H78" s="118">
        <f t="shared" si="13"/>
        <v>13000</v>
      </c>
      <c r="I78" s="61"/>
      <c r="J78" s="155">
        <v>13000</v>
      </c>
      <c r="K78" s="153">
        <v>0</v>
      </c>
      <c r="L78" s="153">
        <v>0</v>
      </c>
      <c r="M78" s="153">
        <v>0</v>
      </c>
      <c r="N78" s="152">
        <f t="shared" si="9"/>
        <v>13000</v>
      </c>
      <c r="O78" s="158">
        <f t="shared" si="10"/>
        <v>1</v>
      </c>
      <c r="P78" s="125">
        <f t="shared" si="11"/>
        <v>13000</v>
      </c>
      <c r="R78" s="125">
        <f t="shared" si="12"/>
        <v>0</v>
      </c>
    </row>
    <row r="79" spans="2:18" s="57" customFormat="1" ht="21.75" customHeight="1">
      <c r="B79" s="65">
        <v>74</v>
      </c>
      <c r="C79" s="106" t="s">
        <v>91</v>
      </c>
      <c r="D79" s="112" t="s">
        <v>245</v>
      </c>
      <c r="E79" s="100" t="s">
        <v>264</v>
      </c>
      <c r="F79" s="116">
        <v>72000</v>
      </c>
      <c r="G79" s="101">
        <v>0.08</v>
      </c>
      <c r="H79" s="118">
        <f t="shared" si="13"/>
        <v>5760</v>
      </c>
      <c r="I79" s="61"/>
      <c r="J79" s="155">
        <v>72000</v>
      </c>
      <c r="K79" s="153">
        <v>0</v>
      </c>
      <c r="L79" s="153">
        <v>0</v>
      </c>
      <c r="M79" s="153">
        <v>0</v>
      </c>
      <c r="N79" s="152">
        <f t="shared" si="9"/>
        <v>72000</v>
      </c>
      <c r="O79" s="158">
        <f t="shared" si="10"/>
        <v>1</v>
      </c>
      <c r="P79" s="125">
        <f t="shared" si="11"/>
        <v>5760</v>
      </c>
      <c r="R79" s="125">
        <f t="shared" si="12"/>
        <v>0</v>
      </c>
    </row>
    <row r="80" spans="2:18" s="57" customFormat="1" ht="21.75" customHeight="1">
      <c r="B80" s="65">
        <v>75</v>
      </c>
      <c r="C80" s="106" t="s">
        <v>91</v>
      </c>
      <c r="D80" s="112" t="s">
        <v>246</v>
      </c>
      <c r="E80" s="100" t="s">
        <v>264</v>
      </c>
      <c r="F80" s="116">
        <v>3500</v>
      </c>
      <c r="G80" s="101">
        <v>0.08</v>
      </c>
      <c r="H80" s="118">
        <f t="shared" si="13"/>
        <v>280</v>
      </c>
      <c r="I80" s="61"/>
      <c r="J80" s="155">
        <v>3500</v>
      </c>
      <c r="K80" s="153">
        <v>0</v>
      </c>
      <c r="L80" s="153">
        <v>0</v>
      </c>
      <c r="M80" s="153">
        <v>0</v>
      </c>
      <c r="N80" s="152">
        <f t="shared" si="9"/>
        <v>3500</v>
      </c>
      <c r="O80" s="158">
        <f t="shared" si="10"/>
        <v>1</v>
      </c>
      <c r="P80" s="125">
        <f t="shared" si="11"/>
        <v>280</v>
      </c>
      <c r="R80" s="125">
        <f t="shared" si="12"/>
        <v>0</v>
      </c>
    </row>
    <row r="81" spans="2:18" s="57" customFormat="1" ht="21.75" customHeight="1">
      <c r="B81" s="65">
        <v>76</v>
      </c>
      <c r="C81" s="106" t="s">
        <v>91</v>
      </c>
      <c r="D81" s="112" t="s">
        <v>235</v>
      </c>
      <c r="E81" s="100" t="s">
        <v>264</v>
      </c>
      <c r="F81" s="116">
        <v>120000</v>
      </c>
      <c r="G81" s="101">
        <v>6.6000000000000003E-2</v>
      </c>
      <c r="H81" s="118">
        <f t="shared" si="13"/>
        <v>7920</v>
      </c>
      <c r="I81" s="61"/>
      <c r="J81" s="155">
        <v>120000</v>
      </c>
      <c r="K81" s="153">
        <v>0</v>
      </c>
      <c r="L81" s="153">
        <v>0</v>
      </c>
      <c r="M81" s="153">
        <v>0</v>
      </c>
      <c r="N81" s="152">
        <f t="shared" si="9"/>
        <v>120000</v>
      </c>
      <c r="O81" s="158">
        <f t="shared" si="10"/>
        <v>1</v>
      </c>
      <c r="P81" s="125">
        <f t="shared" si="11"/>
        <v>7920</v>
      </c>
      <c r="R81" s="125">
        <f t="shared" si="12"/>
        <v>0</v>
      </c>
    </row>
    <row r="82" spans="2:18" s="57" customFormat="1" ht="21.75" customHeight="1">
      <c r="B82" s="65">
        <v>77</v>
      </c>
      <c r="C82" s="106" t="s">
        <v>91</v>
      </c>
      <c r="D82" s="112" t="s">
        <v>236</v>
      </c>
      <c r="E82" s="100" t="s">
        <v>264</v>
      </c>
      <c r="F82" s="116">
        <v>80000</v>
      </c>
      <c r="G82" s="101">
        <v>5.7000000000000002E-2</v>
      </c>
      <c r="H82" s="118">
        <f t="shared" si="13"/>
        <v>4560</v>
      </c>
      <c r="I82" s="61"/>
      <c r="J82" s="155">
        <v>80000</v>
      </c>
      <c r="K82" s="153">
        <v>0</v>
      </c>
      <c r="L82" s="153">
        <v>0</v>
      </c>
      <c r="M82" s="153">
        <v>0</v>
      </c>
      <c r="N82" s="152">
        <f t="shared" si="9"/>
        <v>80000</v>
      </c>
      <c r="O82" s="158">
        <f t="shared" si="10"/>
        <v>1</v>
      </c>
      <c r="P82" s="125">
        <f t="shared" si="11"/>
        <v>4560</v>
      </c>
      <c r="R82" s="125">
        <f t="shared" si="12"/>
        <v>0</v>
      </c>
    </row>
    <row r="83" spans="2:18" s="57" customFormat="1" ht="21.75" customHeight="1">
      <c r="B83" s="65">
        <v>78</v>
      </c>
      <c r="C83" s="106" t="s">
        <v>91</v>
      </c>
      <c r="D83" s="112" t="s">
        <v>237</v>
      </c>
      <c r="E83" s="100" t="s">
        <v>264</v>
      </c>
      <c r="F83" s="116">
        <v>120000</v>
      </c>
      <c r="G83" s="101">
        <v>3.5999999999999997E-2</v>
      </c>
      <c r="H83" s="118">
        <f t="shared" si="13"/>
        <v>4320</v>
      </c>
      <c r="I83" s="61"/>
      <c r="J83" s="155">
        <v>53100</v>
      </c>
      <c r="K83" s="153">
        <v>0</v>
      </c>
      <c r="L83" s="153">
        <v>66900</v>
      </c>
      <c r="M83" s="153">
        <v>0</v>
      </c>
      <c r="N83" s="152">
        <f t="shared" si="9"/>
        <v>120000</v>
      </c>
      <c r="O83" s="158">
        <f t="shared" si="10"/>
        <v>1</v>
      </c>
      <c r="P83" s="125">
        <f t="shared" si="11"/>
        <v>4320</v>
      </c>
      <c r="R83" s="125">
        <f t="shared" si="12"/>
        <v>0</v>
      </c>
    </row>
    <row r="84" spans="2:18" s="57" customFormat="1" ht="21.75" customHeight="1">
      <c r="B84" s="206">
        <v>79</v>
      </c>
      <c r="C84" s="216" t="s">
        <v>91</v>
      </c>
      <c r="D84" s="223" t="s">
        <v>238</v>
      </c>
      <c r="E84" s="220" t="s">
        <v>264</v>
      </c>
      <c r="F84" s="217">
        <v>3090</v>
      </c>
      <c r="G84" s="218">
        <v>6.6</v>
      </c>
      <c r="H84" s="211">
        <f t="shared" si="13"/>
        <v>20394</v>
      </c>
      <c r="I84" s="61"/>
      <c r="J84" s="219">
        <v>0</v>
      </c>
      <c r="K84" s="212">
        <v>0</v>
      </c>
      <c r="L84" s="212">
        <v>3090</v>
      </c>
      <c r="M84" s="212">
        <v>750</v>
      </c>
      <c r="N84" s="152">
        <f t="shared" si="9"/>
        <v>3840</v>
      </c>
      <c r="O84" s="213">
        <f t="shared" si="10"/>
        <v>1.2427184466019416</v>
      </c>
      <c r="P84" s="214">
        <f t="shared" si="11"/>
        <v>25344</v>
      </c>
      <c r="R84" s="215">
        <f t="shared" si="12"/>
        <v>-4950</v>
      </c>
    </row>
    <row r="85" spans="2:18" s="57" customFormat="1" ht="21.75" customHeight="1">
      <c r="B85" s="65">
        <v>80</v>
      </c>
      <c r="C85" s="106" t="s">
        <v>91</v>
      </c>
      <c r="D85" s="112" t="s">
        <v>239</v>
      </c>
      <c r="E85" s="100" t="s">
        <v>264</v>
      </c>
      <c r="F85" s="116">
        <v>3200</v>
      </c>
      <c r="G85" s="101">
        <v>0.09</v>
      </c>
      <c r="H85" s="118">
        <f t="shared" si="13"/>
        <v>288</v>
      </c>
      <c r="I85" s="61"/>
      <c r="J85" s="155">
        <v>3200</v>
      </c>
      <c r="K85" s="153">
        <v>0</v>
      </c>
      <c r="L85" s="153">
        <v>0</v>
      </c>
      <c r="M85" s="153">
        <v>0</v>
      </c>
      <c r="N85" s="152">
        <f t="shared" si="9"/>
        <v>3200</v>
      </c>
      <c r="O85" s="158">
        <f t="shared" si="10"/>
        <v>1</v>
      </c>
      <c r="P85" s="125">
        <f t="shared" si="11"/>
        <v>288</v>
      </c>
      <c r="R85" s="125">
        <f t="shared" si="12"/>
        <v>0</v>
      </c>
    </row>
    <row r="86" spans="2:18" s="57" customFormat="1" ht="21.75" customHeight="1">
      <c r="B86" s="65">
        <v>81</v>
      </c>
      <c r="C86" s="106" t="s">
        <v>91</v>
      </c>
      <c r="D86" s="112" t="s">
        <v>240</v>
      </c>
      <c r="E86" s="66" t="s">
        <v>273</v>
      </c>
      <c r="F86" s="116">
        <v>106000</v>
      </c>
      <c r="G86" s="101">
        <v>0.21</v>
      </c>
      <c r="H86" s="118">
        <f t="shared" si="13"/>
        <v>22260</v>
      </c>
      <c r="I86" s="61"/>
      <c r="J86" s="155">
        <v>106000</v>
      </c>
      <c r="K86" s="153">
        <v>0</v>
      </c>
      <c r="L86" s="153">
        <v>0</v>
      </c>
      <c r="M86" s="153">
        <v>0</v>
      </c>
      <c r="N86" s="152">
        <f t="shared" si="9"/>
        <v>106000</v>
      </c>
      <c r="O86" s="158">
        <f t="shared" si="10"/>
        <v>1</v>
      </c>
      <c r="P86" s="125">
        <f t="shared" si="11"/>
        <v>22260</v>
      </c>
      <c r="R86" s="125">
        <f t="shared" si="12"/>
        <v>0</v>
      </c>
    </row>
    <row r="87" spans="2:18" s="57" customFormat="1" ht="21.75" customHeight="1">
      <c r="B87" s="65">
        <v>82</v>
      </c>
      <c r="C87" s="106" t="s">
        <v>91</v>
      </c>
      <c r="D87" s="112" t="s">
        <v>241</v>
      </c>
      <c r="E87" s="100" t="s">
        <v>276</v>
      </c>
      <c r="F87" s="116">
        <v>75</v>
      </c>
      <c r="G87" s="101">
        <v>15.95</v>
      </c>
      <c r="H87" s="118">
        <f t="shared" si="13"/>
        <v>1196.25</v>
      </c>
      <c r="I87" s="61"/>
      <c r="J87" s="155">
        <v>75</v>
      </c>
      <c r="K87" s="153">
        <v>0</v>
      </c>
      <c r="L87" s="153">
        <v>0</v>
      </c>
      <c r="M87" s="153">
        <v>0</v>
      </c>
      <c r="N87" s="152">
        <f t="shared" si="9"/>
        <v>75</v>
      </c>
      <c r="O87" s="158">
        <f t="shared" si="10"/>
        <v>1</v>
      </c>
      <c r="P87" s="125">
        <f t="shared" si="11"/>
        <v>1196.25</v>
      </c>
      <c r="R87" s="125">
        <f t="shared" si="12"/>
        <v>0</v>
      </c>
    </row>
    <row r="88" spans="2:18" s="57" customFormat="1" ht="21.75" customHeight="1">
      <c r="B88" s="65">
        <v>83</v>
      </c>
      <c r="C88" s="106" t="s">
        <v>91</v>
      </c>
      <c r="D88" s="112" t="s">
        <v>104</v>
      </c>
      <c r="E88" s="100" t="s">
        <v>275</v>
      </c>
      <c r="F88" s="116">
        <v>2075</v>
      </c>
      <c r="G88" s="101">
        <v>2.65</v>
      </c>
      <c r="H88" s="118">
        <f t="shared" si="13"/>
        <v>5498.75</v>
      </c>
      <c r="I88" s="61"/>
      <c r="J88" s="155">
        <v>2075</v>
      </c>
      <c r="K88" s="153">
        <v>0</v>
      </c>
      <c r="L88" s="153">
        <v>0</v>
      </c>
      <c r="M88" s="153">
        <v>0</v>
      </c>
      <c r="N88" s="152">
        <f t="shared" si="9"/>
        <v>2075</v>
      </c>
      <c r="O88" s="158">
        <f t="shared" si="10"/>
        <v>1</v>
      </c>
      <c r="P88" s="125">
        <f t="shared" si="11"/>
        <v>5498.75</v>
      </c>
      <c r="R88" s="125">
        <f t="shared" si="12"/>
        <v>0</v>
      </c>
    </row>
    <row r="89" spans="2:18" s="57" customFormat="1" ht="21.75" customHeight="1">
      <c r="B89" s="65">
        <v>84</v>
      </c>
      <c r="C89" s="106" t="s">
        <v>91</v>
      </c>
      <c r="D89" s="112" t="s">
        <v>106</v>
      </c>
      <c r="E89" s="100" t="s">
        <v>275</v>
      </c>
      <c r="F89" s="116">
        <v>550</v>
      </c>
      <c r="G89" s="101">
        <v>3</v>
      </c>
      <c r="H89" s="118">
        <f t="shared" si="13"/>
        <v>1650</v>
      </c>
      <c r="I89" s="61"/>
      <c r="J89" s="155">
        <v>550</v>
      </c>
      <c r="K89" s="153">
        <v>0</v>
      </c>
      <c r="L89" s="153">
        <v>0</v>
      </c>
      <c r="M89" s="153">
        <v>0</v>
      </c>
      <c r="N89" s="152">
        <f t="shared" si="9"/>
        <v>550</v>
      </c>
      <c r="O89" s="158">
        <f t="shared" si="10"/>
        <v>1</v>
      </c>
      <c r="P89" s="125">
        <f t="shared" si="11"/>
        <v>1650</v>
      </c>
      <c r="R89" s="125">
        <f t="shared" si="12"/>
        <v>0</v>
      </c>
    </row>
    <row r="90" spans="2:18" s="57" customFormat="1" ht="21.75" customHeight="1">
      <c r="B90" s="69">
        <v>85</v>
      </c>
      <c r="C90" s="133" t="s">
        <v>91</v>
      </c>
      <c r="D90" s="134" t="s">
        <v>107</v>
      </c>
      <c r="E90" s="70" t="s">
        <v>275</v>
      </c>
      <c r="F90" s="135">
        <v>750</v>
      </c>
      <c r="G90" s="71">
        <v>1.3</v>
      </c>
      <c r="H90" s="136">
        <f t="shared" si="13"/>
        <v>975</v>
      </c>
      <c r="I90" s="61"/>
      <c r="J90" s="156">
        <v>750</v>
      </c>
      <c r="K90" s="156">
        <v>0</v>
      </c>
      <c r="L90" s="156">
        <v>0</v>
      </c>
      <c r="M90" s="156">
        <v>0</v>
      </c>
      <c r="N90" s="152">
        <f t="shared" si="9"/>
        <v>750</v>
      </c>
      <c r="O90" s="159">
        <f t="shared" si="10"/>
        <v>1</v>
      </c>
      <c r="P90" s="132">
        <f t="shared" si="11"/>
        <v>975</v>
      </c>
      <c r="R90" s="132">
        <f t="shared" si="12"/>
        <v>0</v>
      </c>
    </row>
    <row r="91" spans="2:18" ht="5.0999999999999996" customHeight="1">
      <c r="D91" s="73"/>
      <c r="E91" s="73"/>
      <c r="F91" s="73"/>
      <c r="G91" s="74"/>
      <c r="H91" s="186"/>
      <c r="I91" s="76"/>
      <c r="J91" s="77"/>
      <c r="K91" s="77"/>
      <c r="L91" s="77"/>
      <c r="M91" s="77"/>
      <c r="N91" s="77"/>
      <c r="O91" s="77"/>
      <c r="P91" s="78"/>
      <c r="R91" s="78"/>
    </row>
    <row r="92" spans="2:18" s="79" customFormat="1" ht="24" thickBot="1">
      <c r="D92" s="80"/>
      <c r="E92" s="80"/>
      <c r="F92" s="80"/>
      <c r="G92" s="81"/>
      <c r="H92" s="119">
        <f>SUBTOTAL(9,H6:H90)</f>
        <v>529403.56890000007</v>
      </c>
      <c r="I92" s="82"/>
      <c r="J92" s="83">
        <f>SUM(J6:J91)</f>
        <v>517019.00099999999</v>
      </c>
      <c r="K92" s="83">
        <f>SUM(K6:K91)</f>
        <v>8042.9600000000009</v>
      </c>
      <c r="L92" s="83">
        <f>SUM(L6:L91)</f>
        <v>75058</v>
      </c>
      <c r="M92" s="83">
        <f>SUM(M6:M91)</f>
        <v>8931.1</v>
      </c>
      <c r="N92" s="83"/>
      <c r="O92" s="83"/>
      <c r="P92" s="119">
        <f>SUBTOTAL(9,P6:P90)</f>
        <v>560486.36271300004</v>
      </c>
      <c r="R92" s="119">
        <f>SUM(R6:R91)</f>
        <v>-31082.793812999993</v>
      </c>
    </row>
    <row r="93" spans="2:18" ht="20.100000000000001" customHeight="1" thickTop="1">
      <c r="D93" s="73"/>
      <c r="E93" s="73"/>
      <c r="F93" s="84"/>
      <c r="G93" s="85"/>
      <c r="H93" s="187"/>
      <c r="I93" s="73"/>
      <c r="J93" s="73"/>
      <c r="K93" s="73"/>
      <c r="L93" s="73"/>
      <c r="M93" s="73"/>
      <c r="N93" s="73"/>
      <c r="O93" s="73"/>
      <c r="P93" s="73"/>
      <c r="R93" s="73"/>
    </row>
    <row r="94" spans="2:18" ht="33.75">
      <c r="B94" s="48" t="s">
        <v>266</v>
      </c>
      <c r="C94" s="48"/>
      <c r="D94" s="86"/>
      <c r="E94" s="48"/>
      <c r="F94" s="86"/>
      <c r="G94" s="86"/>
      <c r="H94" s="162" t="s">
        <v>267</v>
      </c>
      <c r="I94" s="88"/>
      <c r="J94" s="48" t="s">
        <v>268</v>
      </c>
      <c r="K94" s="48"/>
      <c r="L94" s="48"/>
      <c r="M94" s="48"/>
      <c r="N94" s="48"/>
      <c r="O94" s="48"/>
      <c r="P94" s="86"/>
      <c r="R94" s="86"/>
    </row>
    <row r="95" spans="2:18" ht="6" customHeight="1">
      <c r="G95" s="49"/>
      <c r="H95" s="188"/>
      <c r="I95" s="88"/>
    </row>
    <row r="96" spans="2:18" s="89" customFormat="1" ht="20.25" customHeight="1">
      <c r="B96" s="89" t="s">
        <v>280</v>
      </c>
      <c r="H96" s="189">
        <f>P92</f>
        <v>560486.36271300004</v>
      </c>
      <c r="I96" s="90"/>
      <c r="J96" s="448" t="s">
        <v>309</v>
      </c>
      <c r="K96" s="448"/>
      <c r="L96" s="448"/>
      <c r="M96" s="448"/>
      <c r="N96" s="448"/>
      <c r="O96" s="448"/>
      <c r="P96" s="448"/>
    </row>
    <row r="97" spans="2:23" s="89" customFormat="1" ht="21.95" customHeight="1">
      <c r="B97" s="89" t="s">
        <v>293</v>
      </c>
      <c r="H97" s="190">
        <f>'کنترل قرارداد (2)'!H96</f>
        <v>463875.35071299999</v>
      </c>
      <c r="I97" s="90"/>
      <c r="J97" s="448"/>
      <c r="K97" s="448"/>
      <c r="L97" s="448"/>
      <c r="M97" s="448"/>
      <c r="N97" s="448"/>
      <c r="O97" s="448"/>
      <c r="P97" s="448"/>
    </row>
    <row r="98" spans="2:23" s="89" customFormat="1" ht="21.95" customHeight="1">
      <c r="B98" s="89" t="s">
        <v>301</v>
      </c>
      <c r="H98" s="189">
        <f>H96-H97</f>
        <v>96611.012000000046</v>
      </c>
      <c r="I98" s="90"/>
      <c r="J98" s="448"/>
      <c r="K98" s="448"/>
      <c r="L98" s="448"/>
      <c r="M98" s="448"/>
      <c r="N98" s="448"/>
      <c r="O98" s="448"/>
      <c r="P98" s="448"/>
    </row>
    <row r="99" spans="2:23" ht="21.95" customHeight="1">
      <c r="B99" s="92" t="s">
        <v>269</v>
      </c>
      <c r="C99" s="92"/>
      <c r="D99" s="89"/>
      <c r="E99" s="92"/>
      <c r="F99" s="89"/>
      <c r="G99" s="89"/>
      <c r="H99" s="191">
        <f>(H98*9%)</f>
        <v>8694.9910800000034</v>
      </c>
      <c r="I99" s="93"/>
      <c r="J99" s="448"/>
      <c r="K99" s="448"/>
      <c r="L99" s="448"/>
      <c r="M99" s="448"/>
      <c r="N99" s="448"/>
      <c r="O99" s="448"/>
      <c r="P99" s="448"/>
      <c r="T99" s="49">
        <v>12942.176023170003</v>
      </c>
      <c r="V99" s="49">
        <v>12942.18</v>
      </c>
      <c r="W99" s="49">
        <v>3.9768299975548897E-3</v>
      </c>
    </row>
    <row r="100" spans="2:23" ht="21.95" customHeight="1" thickBot="1">
      <c r="B100" s="94" t="s">
        <v>308</v>
      </c>
      <c r="C100" s="92"/>
      <c r="D100" s="89"/>
      <c r="E100" s="92"/>
      <c r="F100" s="89"/>
      <c r="G100" s="89"/>
      <c r="H100" s="199">
        <f>SUM(H98:H99)</f>
        <v>105306.00308000005</v>
      </c>
      <c r="I100" s="93"/>
      <c r="J100" s="448"/>
      <c r="K100" s="448"/>
      <c r="L100" s="448"/>
      <c r="M100" s="448"/>
      <c r="N100" s="448"/>
      <c r="O100" s="448"/>
      <c r="P100" s="448"/>
    </row>
    <row r="101" spans="2:23" ht="21.95" customHeight="1" thickTop="1">
      <c r="B101" s="94"/>
      <c r="C101" s="92"/>
      <c r="D101" s="89"/>
      <c r="E101" s="92"/>
      <c r="F101" s="89"/>
      <c r="G101" s="89"/>
      <c r="H101" s="192"/>
      <c r="I101" s="93"/>
      <c r="J101" s="448"/>
      <c r="K101" s="448"/>
      <c r="L101" s="448"/>
      <c r="M101" s="448"/>
      <c r="N101" s="448"/>
      <c r="O101" s="448"/>
      <c r="P101" s="448"/>
    </row>
    <row r="102" spans="2:23" ht="21.95" customHeight="1">
      <c r="B102" s="92" t="s">
        <v>306</v>
      </c>
      <c r="C102" s="92"/>
      <c r="D102" s="89"/>
      <c r="E102" s="92"/>
      <c r="F102" s="89"/>
      <c r="G102" s="89"/>
      <c r="H102" s="193">
        <f>H98-H108</f>
        <v>34626.482000000047</v>
      </c>
      <c r="J102" s="448"/>
      <c r="K102" s="448"/>
      <c r="L102" s="448"/>
      <c r="M102" s="448"/>
      <c r="N102" s="448"/>
      <c r="O102" s="448"/>
      <c r="P102" s="448"/>
    </row>
    <row r="103" spans="2:23" ht="21.95" customHeight="1">
      <c r="B103" s="92" t="s">
        <v>269</v>
      </c>
      <c r="C103" s="92"/>
      <c r="D103" s="89"/>
      <c r="E103" s="92"/>
      <c r="F103" s="89"/>
      <c r="G103" s="89"/>
      <c r="H103" s="191">
        <f>(H102*9%)</f>
        <v>3116.3833800000043</v>
      </c>
      <c r="I103" s="93"/>
      <c r="J103" s="448"/>
      <c r="K103" s="448"/>
      <c r="L103" s="448"/>
      <c r="M103" s="448"/>
      <c r="N103" s="448"/>
      <c r="O103" s="448"/>
      <c r="P103" s="448"/>
      <c r="T103" s="49">
        <v>12942.176023170003</v>
      </c>
      <c r="V103" s="49">
        <v>12942.18</v>
      </c>
      <c r="W103" s="49">
        <v>3.9768299975548897E-3</v>
      </c>
    </row>
    <row r="104" spans="2:23" ht="21.95" customHeight="1">
      <c r="B104" s="89" t="s">
        <v>270</v>
      </c>
      <c r="C104" s="89"/>
      <c r="D104" s="89"/>
      <c r="E104" s="89"/>
      <c r="F104" s="89"/>
      <c r="G104" s="95"/>
      <c r="H104" s="194">
        <f>SUM(H102:H103)</f>
        <v>37742.865380000054</v>
      </c>
      <c r="J104" s="448"/>
      <c r="K104" s="448"/>
      <c r="L104" s="448"/>
      <c r="M104" s="448"/>
      <c r="N104" s="448"/>
      <c r="O104" s="448"/>
      <c r="P104" s="448"/>
    </row>
    <row r="105" spans="2:23" ht="21.95" customHeight="1">
      <c r="B105" s="89" t="s">
        <v>302</v>
      </c>
      <c r="C105" s="89"/>
      <c r="D105" s="89"/>
      <c r="E105" s="89"/>
      <c r="F105" s="89"/>
      <c r="G105" s="95"/>
      <c r="H105" s="195">
        <f>-H102*30/100</f>
        <v>-10387.944600000013</v>
      </c>
      <c r="J105" s="448"/>
      <c r="K105" s="448"/>
      <c r="L105" s="448"/>
      <c r="M105" s="448"/>
      <c r="N105" s="448"/>
      <c r="O105" s="448"/>
      <c r="P105" s="448"/>
    </row>
    <row r="106" spans="2:23" ht="21.95" customHeight="1" thickBot="1">
      <c r="B106" s="89"/>
      <c r="C106" s="89"/>
      <c r="D106" s="89"/>
      <c r="E106" s="89"/>
      <c r="F106" s="89"/>
      <c r="G106" s="95"/>
      <c r="H106" s="200">
        <f>SUM(H104:H105)</f>
        <v>27354.92078000004</v>
      </c>
      <c r="J106" s="448"/>
      <c r="K106" s="448"/>
      <c r="L106" s="448"/>
      <c r="M106" s="448"/>
      <c r="N106" s="448"/>
      <c r="O106" s="448"/>
      <c r="P106" s="448"/>
    </row>
    <row r="107" spans="2:23" ht="21.95" customHeight="1" thickTop="1">
      <c r="B107" s="89"/>
      <c r="C107" s="89"/>
      <c r="D107" s="89"/>
      <c r="E107" s="89"/>
      <c r="F107" s="224"/>
      <c r="G107" s="95"/>
      <c r="H107" s="196"/>
      <c r="J107" s="448"/>
      <c r="K107" s="448"/>
      <c r="L107" s="448"/>
      <c r="M107" s="448"/>
      <c r="N107" s="448"/>
      <c r="O107" s="448"/>
      <c r="P107" s="448"/>
    </row>
    <row r="108" spans="2:23" ht="21.95" customHeight="1">
      <c r="B108" s="92" t="s">
        <v>307</v>
      </c>
      <c r="C108" s="89"/>
      <c r="D108" s="89"/>
      <c r="E108" s="89"/>
      <c r="F108" s="89"/>
      <c r="G108" s="95"/>
      <c r="H108" s="194">
        <f>24661.54+6266.13+31056.86</f>
        <v>61984.53</v>
      </c>
      <c r="J108" s="448"/>
      <c r="K108" s="448"/>
      <c r="L108" s="448"/>
      <c r="M108" s="448"/>
      <c r="N108" s="448"/>
      <c r="O108" s="448"/>
      <c r="P108" s="448"/>
    </row>
    <row r="109" spans="2:23" ht="21.95" customHeight="1">
      <c r="B109" s="92" t="s">
        <v>269</v>
      </c>
      <c r="C109" s="92"/>
      <c r="D109" s="89"/>
      <c r="E109" s="92"/>
      <c r="F109" s="89"/>
      <c r="G109" s="89"/>
      <c r="H109" s="191">
        <f>(H108*9%)</f>
        <v>5578.6076999999996</v>
      </c>
      <c r="I109" s="93"/>
      <c r="J109" s="448"/>
      <c r="K109" s="448"/>
      <c r="L109" s="448"/>
      <c r="M109" s="448"/>
      <c r="N109" s="448"/>
      <c r="O109" s="448"/>
      <c r="P109" s="448"/>
      <c r="T109" s="49">
        <v>12942.176023170003</v>
      </c>
      <c r="V109" s="49">
        <v>12942.18</v>
      </c>
      <c r="W109" s="49">
        <v>3.9768299975548897E-3</v>
      </c>
    </row>
    <row r="110" spans="2:23" ht="21.95" customHeight="1">
      <c r="B110" s="89" t="s">
        <v>270</v>
      </c>
      <c r="C110" s="89"/>
      <c r="D110" s="89"/>
      <c r="E110" s="89"/>
      <c r="F110" s="89"/>
      <c r="G110" s="95"/>
      <c r="H110" s="194">
        <f>SUM(H108:H109)</f>
        <v>67563.137699999992</v>
      </c>
      <c r="J110" s="448"/>
      <c r="K110" s="448"/>
      <c r="L110" s="448"/>
      <c r="M110" s="448"/>
      <c r="N110" s="448"/>
      <c r="O110" s="448"/>
      <c r="P110" s="448"/>
    </row>
    <row r="111" spans="2:23" ht="21.95" customHeight="1">
      <c r="B111" s="89" t="s">
        <v>302</v>
      </c>
      <c r="C111" s="89"/>
      <c r="D111" s="89"/>
      <c r="E111" s="89"/>
      <c r="F111" s="89"/>
      <c r="G111" s="95"/>
      <c r="H111" s="195">
        <f>-19658.33-H105</f>
        <v>-9270.3853999999883</v>
      </c>
      <c r="J111" s="448"/>
      <c r="K111" s="448"/>
      <c r="L111" s="448"/>
      <c r="M111" s="448"/>
      <c r="N111" s="448"/>
      <c r="O111" s="448"/>
      <c r="P111" s="448"/>
    </row>
    <row r="112" spans="2:23" ht="21.95" customHeight="1" thickBot="1">
      <c r="B112" s="92" t="s">
        <v>271</v>
      </c>
      <c r="C112" s="92"/>
      <c r="D112" s="89"/>
      <c r="E112" s="92"/>
      <c r="F112" s="89"/>
      <c r="G112" s="89"/>
      <c r="H112" s="199">
        <f>SUM(H110:H111)</f>
        <v>58292.752300000007</v>
      </c>
      <c r="I112" s="97"/>
      <c r="J112" s="448"/>
      <c r="K112" s="448"/>
      <c r="L112" s="448"/>
      <c r="M112" s="448"/>
      <c r="N112" s="448"/>
      <c r="O112" s="448"/>
      <c r="P112" s="448"/>
      <c r="Q112" s="96"/>
    </row>
    <row r="113" spans="2:16" ht="21.95" customHeight="1" thickTop="1">
      <c r="B113" s="89"/>
      <c r="C113" s="89"/>
      <c r="D113" s="89"/>
      <c r="E113" s="89"/>
      <c r="F113" s="89"/>
      <c r="G113" s="98"/>
      <c r="H113" s="194"/>
      <c r="J113" s="448"/>
      <c r="K113" s="448"/>
      <c r="L113" s="448"/>
      <c r="M113" s="448"/>
      <c r="N113" s="448"/>
      <c r="O113" s="448"/>
      <c r="P113" s="448"/>
    </row>
    <row r="114" spans="2:16" ht="21.95" customHeight="1" thickBot="1">
      <c r="B114" s="94" t="s">
        <v>303</v>
      </c>
      <c r="C114" s="94"/>
      <c r="D114" s="91"/>
      <c r="E114" s="94"/>
      <c r="F114" s="91"/>
      <c r="G114" s="91"/>
      <c r="H114" s="197">
        <f>H112+H106</f>
        <v>85647.673080000051</v>
      </c>
      <c r="J114" s="448"/>
      <c r="K114" s="448"/>
      <c r="L114" s="448"/>
      <c r="M114" s="448"/>
      <c r="N114" s="448"/>
      <c r="O114" s="448"/>
      <c r="P114" s="448"/>
    </row>
    <row r="115" spans="2:16" ht="21.95" customHeight="1" thickTop="1">
      <c r="H115" s="198"/>
      <c r="J115" s="448"/>
      <c r="K115" s="448"/>
      <c r="L115" s="448"/>
      <c r="M115" s="448"/>
      <c r="N115" s="448"/>
      <c r="O115" s="448"/>
      <c r="P115" s="448"/>
    </row>
    <row r="116" spans="2:16" ht="21.95" customHeight="1">
      <c r="H116" s="198"/>
      <c r="J116" s="201"/>
      <c r="K116" s="201"/>
      <c r="L116" s="201"/>
      <c r="M116" s="201"/>
      <c r="N116" s="201"/>
      <c r="O116" s="201"/>
      <c r="P116" s="201"/>
    </row>
    <row r="117" spans="2:16" ht="19.5" customHeight="1">
      <c r="J117" s="201"/>
      <c r="K117" s="201"/>
      <c r="L117" s="201"/>
      <c r="M117" s="201"/>
      <c r="N117" s="201"/>
      <c r="O117" s="201"/>
      <c r="P117" s="201"/>
    </row>
    <row r="118" spans="2:16" ht="19.5" customHeight="1">
      <c r="J118" s="201"/>
      <c r="K118" s="201"/>
      <c r="L118" s="201"/>
      <c r="M118" s="201"/>
      <c r="N118" s="201"/>
      <c r="O118" s="201"/>
      <c r="P118" s="201"/>
    </row>
    <row r="119" spans="2:16" ht="19.5" customHeight="1">
      <c r="J119" s="201"/>
      <c r="K119" s="201"/>
      <c r="L119" s="201"/>
      <c r="M119" s="201"/>
      <c r="N119" s="201"/>
      <c r="O119" s="201"/>
      <c r="P119" s="201"/>
    </row>
    <row r="120" spans="2:16" ht="19.5" customHeight="1">
      <c r="J120" s="201"/>
      <c r="K120" s="201"/>
      <c r="L120" s="201"/>
      <c r="M120" s="201"/>
      <c r="N120" s="201"/>
      <c r="O120" s="201"/>
      <c r="P120" s="201"/>
    </row>
  </sheetData>
  <autoFilter ref="A5:R90" xr:uid="{2677F53A-618D-4F2A-ACD6-49F1DBDD5742}"/>
  <mergeCells count="1">
    <mergeCell ref="J96:P115"/>
  </mergeCells>
  <printOptions horizontalCentered="1"/>
  <pageMargins left="0" right="0" top="0.75" bottom="0.35" header="0.3" footer="0.3"/>
  <pageSetup scale="45" fitToHeight="0" orientation="portrait" r:id="rId1"/>
  <headerFooter>
    <oddFooter>&amp;Cصفحه &amp;P از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DF47-148B-4737-85CB-069C7AB9F220}">
  <sheetPr>
    <pageSetUpPr fitToPage="1"/>
  </sheetPr>
  <dimension ref="B1:W116"/>
  <sheetViews>
    <sheetView rightToLeft="1" view="pageBreakPreview" topLeftCell="B88" zoomScale="112" zoomScaleNormal="100" zoomScaleSheetLayoutView="112" workbookViewId="0">
      <selection activeCell="H103" sqref="H103"/>
    </sheetView>
  </sheetViews>
  <sheetFormatPr defaultColWidth="9.140625" defaultRowHeight="19.5"/>
  <cols>
    <col min="1" max="1" width="2.7109375" style="49" customWidth="1"/>
    <col min="2" max="2" width="5.7109375" style="49" customWidth="1"/>
    <col min="3" max="3" width="12.140625" style="49" bestFit="1" customWidth="1"/>
    <col min="4" max="4" width="60.5703125" style="49" customWidth="1"/>
    <col min="5" max="5" width="5" style="49" bestFit="1" customWidth="1"/>
    <col min="6" max="6" width="11.5703125" style="49" bestFit="1" customWidth="1"/>
    <col min="7" max="7" width="9.140625" style="453" customWidth="1"/>
    <col min="8" max="8" width="14.5703125" style="185" customWidth="1"/>
    <col min="9" max="9" width="1.7109375" style="49" customWidth="1"/>
    <col min="10" max="15" width="13.42578125" style="49" customWidth="1"/>
    <col min="16" max="16" width="10.85546875" style="49" bestFit="1" customWidth="1"/>
    <col min="17" max="17" width="12.85546875" style="352" customWidth="1"/>
    <col min="18" max="18" width="1.7109375" style="49" customWidth="1"/>
    <col min="19" max="19" width="12" style="273" customWidth="1"/>
    <col min="20" max="23" width="9.140625" style="49" customWidth="1"/>
    <col min="24" max="16384" width="9.140625" style="49"/>
  </cols>
  <sheetData>
    <row r="1" spans="2:19" s="45" customFormat="1" ht="27.95" customHeight="1">
      <c r="B1" s="44" t="s">
        <v>286</v>
      </c>
      <c r="C1" s="44"/>
      <c r="E1" s="44"/>
      <c r="G1" s="451"/>
      <c r="H1" s="184"/>
      <c r="Q1" s="351" t="s">
        <v>284</v>
      </c>
      <c r="S1" s="315"/>
    </row>
    <row r="2" spans="2:19" s="45" customFormat="1" ht="27.95" customHeight="1">
      <c r="B2" s="44" t="s">
        <v>254</v>
      </c>
      <c r="C2" s="44"/>
      <c r="E2" s="44"/>
      <c r="G2" s="451"/>
      <c r="H2" s="184"/>
      <c r="Q2" s="351" t="s">
        <v>278</v>
      </c>
      <c r="S2" s="315"/>
    </row>
    <row r="3" spans="2:19" s="45" customFormat="1" ht="27.95" customHeight="1">
      <c r="B3" s="44" t="s">
        <v>285</v>
      </c>
      <c r="C3" s="44"/>
      <c r="E3" s="44"/>
      <c r="G3" s="452"/>
      <c r="H3" s="184"/>
      <c r="Q3" s="351" t="s">
        <v>490</v>
      </c>
      <c r="S3" s="315"/>
    </row>
    <row r="4" spans="2:19" ht="6" customHeight="1"/>
    <row r="5" spans="2:19" s="332" customFormat="1" ht="65.25">
      <c r="B5" s="325" t="s">
        <v>255</v>
      </c>
      <c r="C5" s="325" t="s">
        <v>256</v>
      </c>
      <c r="D5" s="325" t="s">
        <v>257</v>
      </c>
      <c r="E5" s="326" t="s">
        <v>258</v>
      </c>
      <c r="F5" s="327" t="s">
        <v>259</v>
      </c>
      <c r="G5" s="454" t="s">
        <v>260</v>
      </c>
      <c r="H5" s="328" t="s">
        <v>261</v>
      </c>
      <c r="I5" s="329"/>
      <c r="J5" s="324" t="s">
        <v>288</v>
      </c>
      <c r="K5" s="324" t="s">
        <v>289</v>
      </c>
      <c r="L5" s="324" t="s">
        <v>299</v>
      </c>
      <c r="M5" s="324" t="s">
        <v>300</v>
      </c>
      <c r="N5" s="324" t="s">
        <v>487</v>
      </c>
      <c r="O5" s="324" t="s">
        <v>292</v>
      </c>
      <c r="P5" s="330" t="s">
        <v>283</v>
      </c>
      <c r="Q5" s="353" t="s">
        <v>295</v>
      </c>
      <c r="R5" s="329"/>
      <c r="S5" s="331" t="s">
        <v>305</v>
      </c>
    </row>
    <row r="6" spans="2:19" s="336" customFormat="1" ht="21.75" customHeight="1">
      <c r="B6" s="58">
        <v>1</v>
      </c>
      <c r="C6" s="333" t="s">
        <v>118</v>
      </c>
      <c r="D6" s="334" t="s">
        <v>119</v>
      </c>
      <c r="E6" s="59" t="s">
        <v>273</v>
      </c>
      <c r="F6" s="274">
        <v>277.5</v>
      </c>
      <c r="G6" s="455">
        <v>1.077</v>
      </c>
      <c r="H6" s="288">
        <f>F6*G6</f>
        <v>298.86750000000001</v>
      </c>
      <c r="I6" s="335"/>
      <c r="J6" s="307">
        <v>0</v>
      </c>
      <c r="K6" s="307">
        <v>0</v>
      </c>
      <c r="L6" s="307">
        <v>0</v>
      </c>
      <c r="M6" s="307">
        <v>277.5</v>
      </c>
      <c r="N6" s="308">
        <v>0</v>
      </c>
      <c r="O6" s="307">
        <f>SUM(J6:N6)</f>
        <v>277.5</v>
      </c>
      <c r="P6" s="157">
        <f t="shared" ref="P6:P69" si="0">O6/F6</f>
        <v>1</v>
      </c>
      <c r="Q6" s="354">
        <f t="shared" ref="Q6:Q69" si="1">O6*G6</f>
        <v>298.86750000000001</v>
      </c>
      <c r="R6" s="335"/>
      <c r="S6" s="316">
        <f>(F6-O6)*G6</f>
        <v>0</v>
      </c>
    </row>
    <row r="7" spans="2:19" s="336" customFormat="1" ht="21.75" customHeight="1">
      <c r="B7" s="65">
        <v>2</v>
      </c>
      <c r="C7" s="337" t="s">
        <v>35</v>
      </c>
      <c r="D7" s="338" t="s">
        <v>120</v>
      </c>
      <c r="E7" s="66" t="s">
        <v>273</v>
      </c>
      <c r="F7" s="275">
        <v>22</v>
      </c>
      <c r="G7" s="456">
        <v>1.508</v>
      </c>
      <c r="H7" s="289">
        <f>F7*G7</f>
        <v>33.176000000000002</v>
      </c>
      <c r="I7" s="335"/>
      <c r="J7" s="308">
        <v>22</v>
      </c>
      <c r="K7" s="308">
        <v>0</v>
      </c>
      <c r="L7" s="308">
        <v>0</v>
      </c>
      <c r="M7" s="308">
        <v>0</v>
      </c>
      <c r="N7" s="308">
        <v>0</v>
      </c>
      <c r="O7" s="307">
        <f t="shared" ref="O7:O70" si="2">SUM(J7:N7)</f>
        <v>22</v>
      </c>
      <c r="P7" s="158">
        <f t="shared" si="0"/>
        <v>1</v>
      </c>
      <c r="Q7" s="355">
        <f t="shared" si="1"/>
        <v>33.176000000000002</v>
      </c>
      <c r="R7" s="335"/>
      <c r="S7" s="317">
        <f t="shared" ref="S7:S70" si="3">(F7-O7)*G7</f>
        <v>0</v>
      </c>
    </row>
    <row r="8" spans="2:19" s="336" customFormat="1" ht="21.75" customHeight="1">
      <c r="B8" s="65">
        <v>3</v>
      </c>
      <c r="C8" s="337" t="s">
        <v>37</v>
      </c>
      <c r="D8" s="338" t="s">
        <v>121</v>
      </c>
      <c r="E8" s="66" t="s">
        <v>273</v>
      </c>
      <c r="F8" s="275">
        <v>1.5</v>
      </c>
      <c r="G8" s="456">
        <v>2.2970000000000002</v>
      </c>
      <c r="H8" s="289">
        <f t="shared" ref="H8:H71" si="4">F8*G8</f>
        <v>3.4455</v>
      </c>
      <c r="I8" s="335"/>
      <c r="J8" s="308">
        <v>1.5</v>
      </c>
      <c r="K8" s="308">
        <v>0</v>
      </c>
      <c r="L8" s="308">
        <v>0</v>
      </c>
      <c r="M8" s="308">
        <v>0</v>
      </c>
      <c r="N8" s="308">
        <v>0</v>
      </c>
      <c r="O8" s="307">
        <f t="shared" si="2"/>
        <v>1.5</v>
      </c>
      <c r="P8" s="158">
        <f t="shared" si="0"/>
        <v>1</v>
      </c>
      <c r="Q8" s="355">
        <f t="shared" si="1"/>
        <v>3.4455</v>
      </c>
      <c r="R8" s="335"/>
      <c r="S8" s="317">
        <f t="shared" si="3"/>
        <v>0</v>
      </c>
    </row>
    <row r="9" spans="2:19" s="336" customFormat="1" ht="21.75" customHeight="1">
      <c r="B9" s="65">
        <v>4</v>
      </c>
      <c r="C9" s="337" t="s">
        <v>48</v>
      </c>
      <c r="D9" s="338" t="s">
        <v>122</v>
      </c>
      <c r="E9" s="66" t="s">
        <v>273</v>
      </c>
      <c r="F9" s="275">
        <v>1558</v>
      </c>
      <c r="G9" s="456">
        <v>1.149</v>
      </c>
      <c r="H9" s="289">
        <f t="shared" si="4"/>
        <v>1790.1420000000001</v>
      </c>
      <c r="I9" s="335"/>
      <c r="J9" s="308">
        <v>1558</v>
      </c>
      <c r="K9" s="308">
        <v>0</v>
      </c>
      <c r="L9" s="308">
        <v>0</v>
      </c>
      <c r="M9" s="308">
        <v>0</v>
      </c>
      <c r="N9" s="308">
        <v>0</v>
      </c>
      <c r="O9" s="307">
        <f t="shared" si="2"/>
        <v>1558</v>
      </c>
      <c r="P9" s="158">
        <f t="shared" si="0"/>
        <v>1</v>
      </c>
      <c r="Q9" s="355">
        <f t="shared" si="1"/>
        <v>1790.1420000000001</v>
      </c>
      <c r="R9" s="335"/>
      <c r="S9" s="317">
        <f t="shared" si="3"/>
        <v>0</v>
      </c>
    </row>
    <row r="10" spans="2:19" s="336" customFormat="1" ht="21.75" customHeight="1">
      <c r="B10" s="65">
        <v>5</v>
      </c>
      <c r="C10" s="337" t="s">
        <v>50</v>
      </c>
      <c r="D10" s="338" t="s">
        <v>123</v>
      </c>
      <c r="E10" s="66" t="s">
        <v>273</v>
      </c>
      <c r="F10" s="275">
        <v>122.5</v>
      </c>
      <c r="G10" s="456">
        <v>1.7230000000000001</v>
      </c>
      <c r="H10" s="289">
        <f t="shared" si="4"/>
        <v>211.06750000000002</v>
      </c>
      <c r="I10" s="335"/>
      <c r="J10" s="308">
        <v>122.5</v>
      </c>
      <c r="K10" s="308">
        <v>0</v>
      </c>
      <c r="L10" s="308">
        <v>0</v>
      </c>
      <c r="M10" s="308">
        <v>0</v>
      </c>
      <c r="N10" s="308">
        <v>0</v>
      </c>
      <c r="O10" s="307">
        <f t="shared" si="2"/>
        <v>122.5</v>
      </c>
      <c r="P10" s="158">
        <f t="shared" si="0"/>
        <v>1</v>
      </c>
      <c r="Q10" s="355">
        <f t="shared" si="1"/>
        <v>211.06750000000002</v>
      </c>
      <c r="R10" s="335"/>
      <c r="S10" s="317">
        <f t="shared" si="3"/>
        <v>0</v>
      </c>
    </row>
    <row r="11" spans="2:19" s="336" customFormat="1" ht="21.75" customHeight="1">
      <c r="B11" s="65">
        <v>6</v>
      </c>
      <c r="C11" s="337" t="s">
        <v>52</v>
      </c>
      <c r="D11" s="338" t="s">
        <v>124</v>
      </c>
      <c r="E11" s="66" t="s">
        <v>273</v>
      </c>
      <c r="F11" s="275">
        <v>4.5</v>
      </c>
      <c r="G11" s="456">
        <v>2.44</v>
      </c>
      <c r="H11" s="289">
        <f t="shared" si="4"/>
        <v>10.98</v>
      </c>
      <c r="I11" s="335"/>
      <c r="J11" s="308">
        <v>4.5</v>
      </c>
      <c r="K11" s="308">
        <v>0</v>
      </c>
      <c r="L11" s="308">
        <v>0</v>
      </c>
      <c r="M11" s="308">
        <v>0</v>
      </c>
      <c r="N11" s="308">
        <v>0</v>
      </c>
      <c r="O11" s="307">
        <f t="shared" si="2"/>
        <v>4.5</v>
      </c>
      <c r="P11" s="158">
        <f t="shared" si="0"/>
        <v>1</v>
      </c>
      <c r="Q11" s="355">
        <f t="shared" si="1"/>
        <v>10.98</v>
      </c>
      <c r="R11" s="335"/>
      <c r="S11" s="317">
        <f t="shared" si="3"/>
        <v>0</v>
      </c>
    </row>
    <row r="12" spans="2:19" s="336" customFormat="1" ht="21.75" customHeight="1">
      <c r="B12" s="65">
        <v>7</v>
      </c>
      <c r="C12" s="337" t="s">
        <v>125</v>
      </c>
      <c r="D12" s="338" t="s">
        <v>126</v>
      </c>
      <c r="E12" s="66" t="s">
        <v>273</v>
      </c>
      <c r="F12" s="275">
        <v>1104.5</v>
      </c>
      <c r="G12" s="456">
        <v>1.1919999999999999</v>
      </c>
      <c r="H12" s="289">
        <f t="shared" si="4"/>
        <v>1316.5639999999999</v>
      </c>
      <c r="I12" s="335"/>
      <c r="J12" s="308">
        <v>0</v>
      </c>
      <c r="K12" s="308">
        <v>0</v>
      </c>
      <c r="L12" s="308">
        <f>600+504.5</f>
        <v>1104.5</v>
      </c>
      <c r="M12" s="308">
        <v>0</v>
      </c>
      <c r="N12" s="364">
        <f>'Packing List Items'!R159+'Packing List Items'!R166+'Packing List Items'!R167</f>
        <v>3000</v>
      </c>
      <c r="O12" s="307">
        <f t="shared" si="2"/>
        <v>4104.5</v>
      </c>
      <c r="P12" s="271">
        <f t="shared" si="0"/>
        <v>3.716161158895428</v>
      </c>
      <c r="Q12" s="356">
        <f t="shared" si="1"/>
        <v>4892.5639999999994</v>
      </c>
      <c r="R12" s="335"/>
      <c r="S12" s="320">
        <f t="shared" si="3"/>
        <v>-3576</v>
      </c>
    </row>
    <row r="13" spans="2:19" s="336" customFormat="1" ht="21.75" customHeight="1">
      <c r="B13" s="65">
        <v>8</v>
      </c>
      <c r="C13" s="337" t="s">
        <v>127</v>
      </c>
      <c r="D13" s="338" t="s">
        <v>128</v>
      </c>
      <c r="E13" s="66" t="s">
        <v>273</v>
      </c>
      <c r="F13" s="275">
        <v>323.5</v>
      </c>
      <c r="G13" s="456">
        <v>1.7949999999999999</v>
      </c>
      <c r="H13" s="289">
        <f t="shared" si="4"/>
        <v>580.6825</v>
      </c>
      <c r="I13" s="335"/>
      <c r="J13" s="308">
        <v>0</v>
      </c>
      <c r="K13" s="308">
        <v>0</v>
      </c>
      <c r="L13" s="308">
        <v>0</v>
      </c>
      <c r="M13" s="308">
        <v>323.5</v>
      </c>
      <c r="N13" s="308">
        <v>0</v>
      </c>
      <c r="O13" s="307">
        <f t="shared" si="2"/>
        <v>323.5</v>
      </c>
      <c r="P13" s="158">
        <f t="shared" si="0"/>
        <v>1</v>
      </c>
      <c r="Q13" s="355">
        <f t="shared" si="1"/>
        <v>580.6825</v>
      </c>
      <c r="R13" s="335"/>
      <c r="S13" s="317">
        <f t="shared" si="3"/>
        <v>0</v>
      </c>
    </row>
    <row r="14" spans="2:19" s="336" customFormat="1" ht="21.75" customHeight="1">
      <c r="B14" s="65">
        <v>9</v>
      </c>
      <c r="C14" s="337" t="s">
        <v>39</v>
      </c>
      <c r="D14" s="338" t="s">
        <v>129</v>
      </c>
      <c r="E14" s="66" t="s">
        <v>273</v>
      </c>
      <c r="F14" s="275">
        <v>3.5</v>
      </c>
      <c r="G14" s="456">
        <v>2.6560000000000001</v>
      </c>
      <c r="H14" s="289">
        <f t="shared" si="4"/>
        <v>9.2960000000000012</v>
      </c>
      <c r="I14" s="335"/>
      <c r="J14" s="308">
        <v>3.5</v>
      </c>
      <c r="K14" s="308">
        <v>0</v>
      </c>
      <c r="L14" s="308">
        <v>0</v>
      </c>
      <c r="M14" s="308">
        <v>0</v>
      </c>
      <c r="N14" s="308">
        <v>0</v>
      </c>
      <c r="O14" s="307">
        <f t="shared" si="2"/>
        <v>3.5</v>
      </c>
      <c r="P14" s="158">
        <f t="shared" si="0"/>
        <v>1</v>
      </c>
      <c r="Q14" s="355">
        <f t="shared" si="1"/>
        <v>9.2960000000000012</v>
      </c>
      <c r="R14" s="335"/>
      <c r="S14" s="317">
        <f t="shared" si="3"/>
        <v>0</v>
      </c>
    </row>
    <row r="15" spans="2:19" s="336" customFormat="1" ht="21.75" customHeight="1">
      <c r="B15" s="65">
        <v>10</v>
      </c>
      <c r="C15" s="337" t="s">
        <v>130</v>
      </c>
      <c r="D15" s="338" t="s">
        <v>131</v>
      </c>
      <c r="E15" s="66" t="s">
        <v>273</v>
      </c>
      <c r="F15" s="275">
        <v>1697.5</v>
      </c>
      <c r="G15" s="456">
        <v>1.508</v>
      </c>
      <c r="H15" s="289">
        <f t="shared" si="4"/>
        <v>2559.83</v>
      </c>
      <c r="I15" s="335"/>
      <c r="J15" s="308">
        <v>0</v>
      </c>
      <c r="K15" s="308">
        <v>0</v>
      </c>
      <c r="L15" s="308">
        <v>0</v>
      </c>
      <c r="M15" s="308">
        <f>516+540+641.5</f>
        <v>1697.5</v>
      </c>
      <c r="N15" s="308">
        <v>0</v>
      </c>
      <c r="O15" s="307">
        <f t="shared" si="2"/>
        <v>1697.5</v>
      </c>
      <c r="P15" s="158">
        <f t="shared" si="0"/>
        <v>1</v>
      </c>
      <c r="Q15" s="355">
        <f t="shared" si="1"/>
        <v>2559.83</v>
      </c>
      <c r="R15" s="335"/>
      <c r="S15" s="317">
        <f t="shared" si="3"/>
        <v>0</v>
      </c>
    </row>
    <row r="16" spans="2:19" s="336" customFormat="1" ht="21.75" customHeight="1">
      <c r="B16" s="65">
        <v>11</v>
      </c>
      <c r="C16" s="337" t="s">
        <v>132</v>
      </c>
      <c r="D16" s="338" t="s">
        <v>133</v>
      </c>
      <c r="E16" s="66" t="s">
        <v>273</v>
      </c>
      <c r="F16" s="275">
        <v>131</v>
      </c>
      <c r="G16" s="456">
        <v>2.1040000000000001</v>
      </c>
      <c r="H16" s="289">
        <f t="shared" si="4"/>
        <v>275.62400000000002</v>
      </c>
      <c r="I16" s="335"/>
      <c r="J16" s="308">
        <v>0</v>
      </c>
      <c r="K16" s="308">
        <v>0</v>
      </c>
      <c r="L16" s="308">
        <v>131</v>
      </c>
      <c r="M16" s="308">
        <v>0</v>
      </c>
      <c r="N16" s="308">
        <v>0</v>
      </c>
      <c r="O16" s="307">
        <f t="shared" si="2"/>
        <v>131</v>
      </c>
      <c r="P16" s="158">
        <f t="shared" si="0"/>
        <v>1</v>
      </c>
      <c r="Q16" s="355">
        <f t="shared" si="1"/>
        <v>275.62400000000002</v>
      </c>
      <c r="R16" s="335"/>
      <c r="S16" s="317">
        <f t="shared" si="3"/>
        <v>0</v>
      </c>
    </row>
    <row r="17" spans="2:19" s="336" customFormat="1" ht="21.75" customHeight="1">
      <c r="B17" s="65">
        <v>12</v>
      </c>
      <c r="C17" s="337" t="s">
        <v>134</v>
      </c>
      <c r="D17" s="339" t="s">
        <v>135</v>
      </c>
      <c r="E17" s="66" t="s">
        <v>273</v>
      </c>
      <c r="F17" s="275">
        <v>1.5</v>
      </c>
      <c r="G17" s="456">
        <v>2.9430000000000001</v>
      </c>
      <c r="H17" s="289">
        <f t="shared" si="4"/>
        <v>4.4145000000000003</v>
      </c>
      <c r="I17" s="335"/>
      <c r="J17" s="308">
        <v>0</v>
      </c>
      <c r="K17" s="308">
        <v>0</v>
      </c>
      <c r="L17" s="308">
        <v>0</v>
      </c>
      <c r="M17" s="308">
        <v>1.5</v>
      </c>
      <c r="N17" s="308">
        <v>0</v>
      </c>
      <c r="O17" s="307">
        <f t="shared" si="2"/>
        <v>1.5</v>
      </c>
      <c r="P17" s="158">
        <f t="shared" si="0"/>
        <v>1</v>
      </c>
      <c r="Q17" s="355">
        <f t="shared" si="1"/>
        <v>4.4145000000000003</v>
      </c>
      <c r="R17" s="335"/>
      <c r="S17" s="317">
        <f t="shared" si="3"/>
        <v>0</v>
      </c>
    </row>
    <row r="18" spans="2:19" s="336" customFormat="1" ht="21.75" customHeight="1">
      <c r="B18" s="65">
        <v>13</v>
      </c>
      <c r="C18" s="337" t="s">
        <v>41</v>
      </c>
      <c r="D18" s="339" t="s">
        <v>136</v>
      </c>
      <c r="E18" s="66" t="s">
        <v>273</v>
      </c>
      <c r="F18" s="275">
        <v>2009</v>
      </c>
      <c r="G18" s="456">
        <v>1.579</v>
      </c>
      <c r="H18" s="289">
        <f t="shared" si="4"/>
        <v>3172.2109999999998</v>
      </c>
      <c r="I18" s="335"/>
      <c r="J18" s="308">
        <v>110</v>
      </c>
      <c r="K18" s="308">
        <v>0</v>
      </c>
      <c r="L18" s="308">
        <f>684+630+252+216</f>
        <v>1782</v>
      </c>
      <c r="M18" s="308">
        <v>117</v>
      </c>
      <c r="N18" s="308">
        <v>0</v>
      </c>
      <c r="O18" s="307">
        <f t="shared" si="2"/>
        <v>2009</v>
      </c>
      <c r="P18" s="158">
        <f t="shared" si="0"/>
        <v>1</v>
      </c>
      <c r="Q18" s="355">
        <f t="shared" si="1"/>
        <v>3172.2109999999998</v>
      </c>
      <c r="R18" s="335"/>
      <c r="S18" s="317">
        <f t="shared" si="3"/>
        <v>0</v>
      </c>
    </row>
    <row r="19" spans="2:19" s="336" customFormat="1" ht="21.75" customHeight="1">
      <c r="B19" s="65">
        <v>14</v>
      </c>
      <c r="C19" s="337" t="s">
        <v>137</v>
      </c>
      <c r="D19" s="339" t="s">
        <v>138</v>
      </c>
      <c r="E19" s="66" t="s">
        <v>273</v>
      </c>
      <c r="F19" s="275">
        <v>956</v>
      </c>
      <c r="G19" s="456">
        <v>2.44</v>
      </c>
      <c r="H19" s="289">
        <f t="shared" si="4"/>
        <v>2332.64</v>
      </c>
      <c r="I19" s="335"/>
      <c r="J19" s="308">
        <v>0</v>
      </c>
      <c r="K19" s="308">
        <v>0</v>
      </c>
      <c r="L19" s="308">
        <v>636</v>
      </c>
      <c r="M19" s="308">
        <v>320</v>
      </c>
      <c r="N19" s="364">
        <f>'Packing List Items'!R156+'Packing List Items'!R158</f>
        <v>720</v>
      </c>
      <c r="O19" s="307">
        <f t="shared" si="2"/>
        <v>1676</v>
      </c>
      <c r="P19" s="271">
        <f t="shared" si="0"/>
        <v>1.7531380753138075</v>
      </c>
      <c r="Q19" s="356">
        <f t="shared" si="1"/>
        <v>4089.44</v>
      </c>
      <c r="R19" s="335"/>
      <c r="S19" s="320">
        <f t="shared" si="3"/>
        <v>-1756.8</v>
      </c>
    </row>
    <row r="20" spans="2:19" s="336" customFormat="1" ht="21.75" customHeight="1">
      <c r="B20" s="65">
        <v>15</v>
      </c>
      <c r="C20" s="337" t="s">
        <v>54</v>
      </c>
      <c r="D20" s="339" t="s">
        <v>139</v>
      </c>
      <c r="E20" s="66" t="s">
        <v>273</v>
      </c>
      <c r="F20" s="275">
        <v>37.5</v>
      </c>
      <c r="G20" s="456">
        <v>3.302</v>
      </c>
      <c r="H20" s="289">
        <f t="shared" si="4"/>
        <v>123.825</v>
      </c>
      <c r="I20" s="335"/>
      <c r="J20" s="308">
        <v>37.5</v>
      </c>
      <c r="K20" s="308">
        <v>0</v>
      </c>
      <c r="L20" s="308">
        <v>0</v>
      </c>
      <c r="M20" s="308">
        <v>0</v>
      </c>
      <c r="N20" s="308">
        <v>0</v>
      </c>
      <c r="O20" s="307">
        <f t="shared" si="2"/>
        <v>37.5</v>
      </c>
      <c r="P20" s="158">
        <f t="shared" si="0"/>
        <v>1</v>
      </c>
      <c r="Q20" s="355">
        <f t="shared" si="1"/>
        <v>123.825</v>
      </c>
      <c r="R20" s="335"/>
      <c r="S20" s="317">
        <f t="shared" si="3"/>
        <v>0</v>
      </c>
    </row>
    <row r="21" spans="2:19" s="336" customFormat="1" ht="21.75" customHeight="1">
      <c r="B21" s="65">
        <v>16</v>
      </c>
      <c r="C21" s="337" t="s">
        <v>140</v>
      </c>
      <c r="D21" s="339" t="s">
        <v>141</v>
      </c>
      <c r="E21" s="66" t="s">
        <v>273</v>
      </c>
      <c r="F21" s="275">
        <v>1.5</v>
      </c>
      <c r="G21" s="456">
        <v>4.2350000000000003</v>
      </c>
      <c r="H21" s="289">
        <f t="shared" si="4"/>
        <v>6.3525000000000009</v>
      </c>
      <c r="I21" s="335"/>
      <c r="J21" s="308">
        <v>0</v>
      </c>
      <c r="K21" s="308">
        <v>0</v>
      </c>
      <c r="L21" s="308">
        <v>0</v>
      </c>
      <c r="M21" s="308">
        <v>1.5</v>
      </c>
      <c r="N21" s="308">
        <v>0</v>
      </c>
      <c r="O21" s="307">
        <f t="shared" si="2"/>
        <v>1.5</v>
      </c>
      <c r="P21" s="158">
        <f t="shared" si="0"/>
        <v>1</v>
      </c>
      <c r="Q21" s="355">
        <f t="shared" si="1"/>
        <v>6.3525000000000009</v>
      </c>
      <c r="R21" s="335"/>
      <c r="S21" s="317">
        <f t="shared" si="3"/>
        <v>0</v>
      </c>
    </row>
    <row r="22" spans="2:19" s="336" customFormat="1" ht="21.75" customHeight="1">
      <c r="B22" s="65">
        <v>17</v>
      </c>
      <c r="C22" s="337" t="s">
        <v>111</v>
      </c>
      <c r="D22" s="338" t="s">
        <v>142</v>
      </c>
      <c r="E22" s="66" t="s">
        <v>273</v>
      </c>
      <c r="F22" s="275">
        <v>1170.5</v>
      </c>
      <c r="G22" s="456">
        <v>2.1539999999999999</v>
      </c>
      <c r="H22" s="289">
        <f t="shared" si="4"/>
        <v>2521.2570000000001</v>
      </c>
      <c r="I22" s="335"/>
      <c r="J22" s="308">
        <v>575</v>
      </c>
      <c r="K22" s="308">
        <v>0</v>
      </c>
      <c r="L22" s="308">
        <v>96</v>
      </c>
      <c r="M22" s="308">
        <f>112+216+171.5</f>
        <v>499.5</v>
      </c>
      <c r="N22" s="308">
        <v>0</v>
      </c>
      <c r="O22" s="307">
        <f t="shared" si="2"/>
        <v>1170.5</v>
      </c>
      <c r="P22" s="158">
        <f t="shared" si="0"/>
        <v>1</v>
      </c>
      <c r="Q22" s="355">
        <f t="shared" si="1"/>
        <v>2521.2570000000001</v>
      </c>
      <c r="R22" s="335"/>
      <c r="S22" s="317">
        <f t="shared" si="3"/>
        <v>0</v>
      </c>
    </row>
    <row r="23" spans="2:19" s="336" customFormat="1" ht="21.75" customHeight="1">
      <c r="B23" s="65">
        <v>18</v>
      </c>
      <c r="C23" s="337" t="s">
        <v>82</v>
      </c>
      <c r="D23" s="338" t="s">
        <v>143</v>
      </c>
      <c r="E23" s="66" t="s">
        <v>273</v>
      </c>
      <c r="F23" s="275">
        <v>620.5</v>
      </c>
      <c r="G23" s="456">
        <v>3.0859999999999999</v>
      </c>
      <c r="H23" s="289">
        <f t="shared" si="4"/>
        <v>1914.8629999999998</v>
      </c>
      <c r="I23" s="335"/>
      <c r="J23" s="308">
        <v>620.5</v>
      </c>
      <c r="K23" s="308">
        <v>0</v>
      </c>
      <c r="L23" s="308">
        <v>0</v>
      </c>
      <c r="M23" s="308">
        <v>0</v>
      </c>
      <c r="N23" s="308">
        <v>0</v>
      </c>
      <c r="O23" s="307">
        <f t="shared" si="2"/>
        <v>620.5</v>
      </c>
      <c r="P23" s="158">
        <f t="shared" si="0"/>
        <v>1</v>
      </c>
      <c r="Q23" s="355">
        <f t="shared" si="1"/>
        <v>1914.8629999999998</v>
      </c>
      <c r="R23" s="335"/>
      <c r="S23" s="317">
        <f t="shared" si="3"/>
        <v>0</v>
      </c>
    </row>
    <row r="24" spans="2:19" s="336" customFormat="1" ht="21.75" customHeight="1">
      <c r="B24" s="65">
        <v>19</v>
      </c>
      <c r="C24" s="337" t="s">
        <v>144</v>
      </c>
      <c r="D24" s="338" t="s">
        <v>145</v>
      </c>
      <c r="E24" s="66" t="s">
        <v>273</v>
      </c>
      <c r="F24" s="276">
        <v>139</v>
      </c>
      <c r="G24" s="456">
        <v>4.0739999999999998</v>
      </c>
      <c r="H24" s="289">
        <f t="shared" si="4"/>
        <v>566.28599999999994</v>
      </c>
      <c r="I24" s="335"/>
      <c r="J24" s="308">
        <v>0</v>
      </c>
      <c r="K24" s="308">
        <v>139</v>
      </c>
      <c r="L24" s="308">
        <v>0</v>
      </c>
      <c r="M24" s="308">
        <v>0</v>
      </c>
      <c r="N24" s="308">
        <v>0</v>
      </c>
      <c r="O24" s="307">
        <f t="shared" si="2"/>
        <v>139</v>
      </c>
      <c r="P24" s="158">
        <f t="shared" si="0"/>
        <v>1</v>
      </c>
      <c r="Q24" s="355">
        <f t="shared" si="1"/>
        <v>566.28599999999994</v>
      </c>
      <c r="R24" s="335"/>
      <c r="S24" s="317">
        <f t="shared" si="3"/>
        <v>0</v>
      </c>
    </row>
    <row r="25" spans="2:19" s="336" customFormat="1" ht="21.75" customHeight="1">
      <c r="B25" s="65">
        <v>20</v>
      </c>
      <c r="C25" s="337" t="s">
        <v>146</v>
      </c>
      <c r="D25" s="338" t="s">
        <v>147</v>
      </c>
      <c r="E25" s="66" t="s">
        <v>273</v>
      </c>
      <c r="F25" s="275">
        <v>76</v>
      </c>
      <c r="G25" s="456">
        <v>2.496</v>
      </c>
      <c r="H25" s="289">
        <f t="shared" si="4"/>
        <v>189.696</v>
      </c>
      <c r="I25" s="335"/>
      <c r="J25" s="308">
        <v>0</v>
      </c>
      <c r="K25" s="308">
        <v>0</v>
      </c>
      <c r="L25" s="308">
        <f>57+19</f>
        <v>76</v>
      </c>
      <c r="M25" s="308">
        <v>0</v>
      </c>
      <c r="N25" s="308">
        <v>0</v>
      </c>
      <c r="O25" s="307">
        <f t="shared" si="2"/>
        <v>76</v>
      </c>
      <c r="P25" s="158">
        <f t="shared" si="0"/>
        <v>1</v>
      </c>
      <c r="Q25" s="355">
        <f t="shared" si="1"/>
        <v>189.696</v>
      </c>
      <c r="R25" s="335"/>
      <c r="S25" s="317">
        <f t="shared" si="3"/>
        <v>0</v>
      </c>
    </row>
    <row r="26" spans="2:19" s="336" customFormat="1" ht="21.75" customHeight="1">
      <c r="B26" s="65">
        <v>21</v>
      </c>
      <c r="C26" s="337" t="s">
        <v>148</v>
      </c>
      <c r="D26" s="338" t="s">
        <v>149</v>
      </c>
      <c r="E26" s="66" t="s">
        <v>273</v>
      </c>
      <c r="F26" s="275">
        <v>1020</v>
      </c>
      <c r="G26" s="456">
        <v>3.589</v>
      </c>
      <c r="H26" s="289">
        <f t="shared" si="4"/>
        <v>3660.7799999999997</v>
      </c>
      <c r="I26" s="335"/>
      <c r="J26" s="308">
        <v>0</v>
      </c>
      <c r="K26" s="308">
        <v>0</v>
      </c>
      <c r="L26" s="308">
        <f>540+381</f>
        <v>921</v>
      </c>
      <c r="M26" s="308">
        <v>99</v>
      </c>
      <c r="N26" s="308">
        <v>0</v>
      </c>
      <c r="O26" s="307">
        <f t="shared" si="2"/>
        <v>1020</v>
      </c>
      <c r="P26" s="158">
        <f t="shared" si="0"/>
        <v>1</v>
      </c>
      <c r="Q26" s="355">
        <f t="shared" si="1"/>
        <v>3660.7799999999997</v>
      </c>
      <c r="R26" s="335"/>
      <c r="S26" s="317">
        <f t="shared" si="3"/>
        <v>0</v>
      </c>
    </row>
    <row r="27" spans="2:19" s="336" customFormat="1" ht="21.75" customHeight="1">
      <c r="B27" s="65">
        <v>22</v>
      </c>
      <c r="C27" s="337" t="s">
        <v>150</v>
      </c>
      <c r="D27" s="338" t="s">
        <v>151</v>
      </c>
      <c r="E27" s="66" t="s">
        <v>273</v>
      </c>
      <c r="F27" s="275">
        <v>133.5</v>
      </c>
      <c r="G27" s="456">
        <v>4.7370000000000001</v>
      </c>
      <c r="H27" s="289">
        <f t="shared" si="4"/>
        <v>632.3895</v>
      </c>
      <c r="I27" s="335"/>
      <c r="J27" s="308">
        <v>0</v>
      </c>
      <c r="K27" s="308">
        <v>0</v>
      </c>
      <c r="L27" s="308">
        <v>45</v>
      </c>
      <c r="M27" s="308">
        <v>88.5</v>
      </c>
      <c r="N27" s="308">
        <v>0</v>
      </c>
      <c r="O27" s="307">
        <f t="shared" si="2"/>
        <v>133.5</v>
      </c>
      <c r="P27" s="158">
        <f t="shared" si="0"/>
        <v>1</v>
      </c>
      <c r="Q27" s="355">
        <f t="shared" si="1"/>
        <v>632.3895</v>
      </c>
      <c r="R27" s="335"/>
      <c r="S27" s="317">
        <f t="shared" si="3"/>
        <v>0</v>
      </c>
    </row>
    <row r="28" spans="2:19" s="336" customFormat="1" ht="21.75" customHeight="1">
      <c r="B28" s="65">
        <v>23</v>
      </c>
      <c r="C28" s="337" t="s">
        <v>152</v>
      </c>
      <c r="D28" s="338" t="s">
        <v>153</v>
      </c>
      <c r="E28" s="66" t="s">
        <v>273</v>
      </c>
      <c r="F28" s="275">
        <v>68.5</v>
      </c>
      <c r="G28" s="456">
        <v>5.9560000000000004</v>
      </c>
      <c r="H28" s="289">
        <f t="shared" si="4"/>
        <v>407.98600000000005</v>
      </c>
      <c r="I28" s="335"/>
      <c r="J28" s="308">
        <v>0</v>
      </c>
      <c r="K28" s="308">
        <v>0</v>
      </c>
      <c r="L28" s="308">
        <v>0</v>
      </c>
      <c r="M28" s="308">
        <v>68.5</v>
      </c>
      <c r="N28" s="308">
        <v>0</v>
      </c>
      <c r="O28" s="307">
        <f t="shared" si="2"/>
        <v>68.5</v>
      </c>
      <c r="P28" s="158">
        <f t="shared" si="0"/>
        <v>1</v>
      </c>
      <c r="Q28" s="355">
        <f t="shared" si="1"/>
        <v>407.98600000000005</v>
      </c>
      <c r="R28" s="335"/>
      <c r="S28" s="317">
        <f t="shared" si="3"/>
        <v>0</v>
      </c>
    </row>
    <row r="29" spans="2:19" s="336" customFormat="1" ht="21.75" customHeight="1">
      <c r="B29" s="65">
        <v>24</v>
      </c>
      <c r="C29" s="340" t="s">
        <v>43</v>
      </c>
      <c r="D29" s="341" t="s">
        <v>154</v>
      </c>
      <c r="E29" s="66" t="s">
        <v>273</v>
      </c>
      <c r="F29" s="277">
        <v>132</v>
      </c>
      <c r="G29" s="457">
        <v>3.484</v>
      </c>
      <c r="H29" s="289">
        <f t="shared" si="4"/>
        <v>459.88799999999998</v>
      </c>
      <c r="I29" s="335"/>
      <c r="J29" s="309">
        <v>132</v>
      </c>
      <c r="K29" s="308">
        <v>0</v>
      </c>
      <c r="L29" s="308">
        <v>0</v>
      </c>
      <c r="M29" s="308">
        <v>0</v>
      </c>
      <c r="N29" s="308">
        <v>0</v>
      </c>
      <c r="O29" s="307">
        <f t="shared" si="2"/>
        <v>132</v>
      </c>
      <c r="P29" s="158">
        <f t="shared" si="0"/>
        <v>1</v>
      </c>
      <c r="Q29" s="355">
        <f t="shared" si="1"/>
        <v>459.88799999999998</v>
      </c>
      <c r="R29" s="335"/>
      <c r="S29" s="317">
        <f t="shared" si="3"/>
        <v>0</v>
      </c>
    </row>
    <row r="30" spans="2:19" s="336" customFormat="1" ht="21.75" customHeight="1">
      <c r="B30" s="65">
        <v>25</v>
      </c>
      <c r="C30" s="337" t="s">
        <v>155</v>
      </c>
      <c r="D30" s="338" t="s">
        <v>156</v>
      </c>
      <c r="E30" s="66" t="s">
        <v>273</v>
      </c>
      <c r="F30" s="276">
        <v>1479.5</v>
      </c>
      <c r="G30" s="456">
        <v>4.88</v>
      </c>
      <c r="H30" s="289">
        <f t="shared" si="4"/>
        <v>7219.96</v>
      </c>
      <c r="I30" s="335"/>
      <c r="J30" s="308">
        <v>0</v>
      </c>
      <c r="K30" s="308">
        <v>0</v>
      </c>
      <c r="L30" s="308">
        <v>0</v>
      </c>
      <c r="M30" s="308">
        <f>354+285+139.5+220.5+102+139.5+189+50</f>
        <v>1479.5</v>
      </c>
      <c r="N30" s="308">
        <v>0</v>
      </c>
      <c r="O30" s="307">
        <f t="shared" si="2"/>
        <v>1479.5</v>
      </c>
      <c r="P30" s="158">
        <f t="shared" si="0"/>
        <v>1</v>
      </c>
      <c r="Q30" s="355">
        <f t="shared" si="1"/>
        <v>7219.96</v>
      </c>
      <c r="R30" s="335"/>
      <c r="S30" s="317">
        <f t="shared" si="3"/>
        <v>0</v>
      </c>
    </row>
    <row r="31" spans="2:19" s="336" customFormat="1" ht="21.75" customHeight="1">
      <c r="B31" s="65">
        <v>26</v>
      </c>
      <c r="C31" s="337" t="s">
        <v>56</v>
      </c>
      <c r="D31" s="338" t="s">
        <v>157</v>
      </c>
      <c r="E31" s="66" t="s">
        <v>273</v>
      </c>
      <c r="F31" s="276">
        <v>48.5</v>
      </c>
      <c r="G31" s="456">
        <v>6.3150000000000004</v>
      </c>
      <c r="H31" s="289">
        <f t="shared" si="4"/>
        <v>306.27750000000003</v>
      </c>
      <c r="I31" s="335"/>
      <c r="J31" s="308">
        <v>48.5</v>
      </c>
      <c r="K31" s="308">
        <v>0</v>
      </c>
      <c r="L31" s="308">
        <v>128</v>
      </c>
      <c r="M31" s="308">
        <v>0</v>
      </c>
      <c r="N31" s="308">
        <v>0</v>
      </c>
      <c r="O31" s="307">
        <f t="shared" si="2"/>
        <v>176.5</v>
      </c>
      <c r="P31" s="271">
        <f t="shared" si="0"/>
        <v>3.6391752577319587</v>
      </c>
      <c r="Q31" s="356">
        <f t="shared" si="1"/>
        <v>1114.5975000000001</v>
      </c>
      <c r="R31" s="335"/>
      <c r="S31" s="320">
        <f t="shared" si="3"/>
        <v>-808.32</v>
      </c>
    </row>
    <row r="32" spans="2:19" s="336" customFormat="1" ht="21.75" customHeight="1">
      <c r="B32" s="65">
        <v>27</v>
      </c>
      <c r="C32" s="337" t="s">
        <v>29</v>
      </c>
      <c r="D32" s="338" t="s">
        <v>158</v>
      </c>
      <c r="E32" s="66" t="s">
        <v>273</v>
      </c>
      <c r="F32" s="276">
        <v>371</v>
      </c>
      <c r="G32" s="456">
        <v>7.8220000000000001</v>
      </c>
      <c r="H32" s="289">
        <f t="shared" si="4"/>
        <v>2901.962</v>
      </c>
      <c r="I32" s="335"/>
      <c r="J32" s="308">
        <v>371</v>
      </c>
      <c r="K32" s="308">
        <v>0</v>
      </c>
      <c r="L32" s="308">
        <v>0</v>
      </c>
      <c r="M32" s="308">
        <v>0</v>
      </c>
      <c r="N32" s="308">
        <v>0</v>
      </c>
      <c r="O32" s="307">
        <f t="shared" si="2"/>
        <v>371</v>
      </c>
      <c r="P32" s="158">
        <f t="shared" si="0"/>
        <v>1</v>
      </c>
      <c r="Q32" s="355">
        <f t="shared" si="1"/>
        <v>2901.962</v>
      </c>
      <c r="R32" s="335"/>
      <c r="S32" s="317">
        <f t="shared" si="3"/>
        <v>0</v>
      </c>
    </row>
    <row r="33" spans="2:19" s="336" customFormat="1" ht="21.75" customHeight="1">
      <c r="B33" s="65">
        <v>28</v>
      </c>
      <c r="C33" s="337" t="s">
        <v>77</v>
      </c>
      <c r="D33" s="338" t="s">
        <v>159</v>
      </c>
      <c r="E33" s="66" t="s">
        <v>273</v>
      </c>
      <c r="F33" s="276">
        <v>440</v>
      </c>
      <c r="G33" s="456">
        <v>9.8320000000000007</v>
      </c>
      <c r="H33" s="289">
        <f t="shared" si="4"/>
        <v>4326.08</v>
      </c>
      <c r="I33" s="335"/>
      <c r="J33" s="308">
        <v>430</v>
      </c>
      <c r="K33" s="308">
        <v>0</v>
      </c>
      <c r="L33" s="308">
        <v>0</v>
      </c>
      <c r="M33" s="308">
        <v>10</v>
      </c>
      <c r="N33" s="308">
        <v>0</v>
      </c>
      <c r="O33" s="307">
        <f t="shared" si="2"/>
        <v>440</v>
      </c>
      <c r="P33" s="158">
        <f t="shared" si="0"/>
        <v>1</v>
      </c>
      <c r="Q33" s="355">
        <f t="shared" si="1"/>
        <v>4326.08</v>
      </c>
      <c r="R33" s="335"/>
      <c r="S33" s="317">
        <f t="shared" si="3"/>
        <v>0</v>
      </c>
    </row>
    <row r="34" spans="2:19" s="336" customFormat="1" ht="21.75" customHeight="1">
      <c r="B34" s="65">
        <v>29</v>
      </c>
      <c r="C34" s="342" t="s">
        <v>160</v>
      </c>
      <c r="D34" s="338" t="s">
        <v>161</v>
      </c>
      <c r="E34" s="66" t="s">
        <v>273</v>
      </c>
      <c r="F34" s="322">
        <v>128</v>
      </c>
      <c r="G34" s="456">
        <v>6.3150000000000004</v>
      </c>
      <c r="H34" s="289">
        <f t="shared" si="4"/>
        <v>808.32</v>
      </c>
      <c r="I34" s="335"/>
      <c r="J34" s="308">
        <v>0</v>
      </c>
      <c r="K34" s="308">
        <v>0</v>
      </c>
      <c r="L34" s="308">
        <v>0</v>
      </c>
      <c r="M34" s="308">
        <v>0</v>
      </c>
      <c r="N34" s="308">
        <v>0</v>
      </c>
      <c r="O34" s="307">
        <f t="shared" si="2"/>
        <v>0</v>
      </c>
      <c r="P34" s="270">
        <f t="shared" si="0"/>
        <v>0</v>
      </c>
      <c r="Q34" s="357">
        <f t="shared" si="1"/>
        <v>0</v>
      </c>
      <c r="R34" s="335"/>
      <c r="S34" s="321">
        <f t="shared" si="3"/>
        <v>808.32</v>
      </c>
    </row>
    <row r="35" spans="2:19" s="336" customFormat="1" ht="21.75" customHeight="1">
      <c r="B35" s="65">
        <v>30</v>
      </c>
      <c r="C35" s="337" t="s">
        <v>186</v>
      </c>
      <c r="D35" s="338" t="s">
        <v>187</v>
      </c>
      <c r="E35" s="66" t="s">
        <v>274</v>
      </c>
      <c r="F35" s="276">
        <v>132</v>
      </c>
      <c r="G35" s="456">
        <v>15.891999999999999</v>
      </c>
      <c r="H35" s="289">
        <f t="shared" si="4"/>
        <v>2097.7440000000001</v>
      </c>
      <c r="I35" s="335"/>
      <c r="J35" s="308">
        <v>0</v>
      </c>
      <c r="K35" s="308">
        <v>132</v>
      </c>
      <c r="L35" s="308">
        <v>0</v>
      </c>
      <c r="M35" s="308">
        <v>579</v>
      </c>
      <c r="N35" s="308">
        <v>0</v>
      </c>
      <c r="O35" s="307">
        <f t="shared" si="2"/>
        <v>711</v>
      </c>
      <c r="P35" s="271">
        <f t="shared" si="0"/>
        <v>5.3863636363636367</v>
      </c>
      <c r="Q35" s="356">
        <f t="shared" si="1"/>
        <v>11299.212</v>
      </c>
      <c r="R35" s="335"/>
      <c r="S35" s="320">
        <f t="shared" si="3"/>
        <v>-9201.4679999999989</v>
      </c>
    </row>
    <row r="36" spans="2:19" s="336" customFormat="1" ht="21.75" customHeight="1">
      <c r="B36" s="65">
        <v>31</v>
      </c>
      <c r="C36" s="337" t="s">
        <v>162</v>
      </c>
      <c r="D36" s="338" t="s">
        <v>163</v>
      </c>
      <c r="E36" s="66" t="s">
        <v>273</v>
      </c>
      <c r="F36" s="276">
        <v>10</v>
      </c>
      <c r="G36" s="456">
        <v>4.3390000000000004</v>
      </c>
      <c r="H36" s="289">
        <f t="shared" si="4"/>
        <v>43.39</v>
      </c>
      <c r="I36" s="335"/>
      <c r="J36" s="308">
        <v>0</v>
      </c>
      <c r="K36" s="308">
        <v>0</v>
      </c>
      <c r="L36" s="308">
        <v>10</v>
      </c>
      <c r="M36" s="308">
        <v>0</v>
      </c>
      <c r="N36" s="308">
        <v>0</v>
      </c>
      <c r="O36" s="307">
        <f t="shared" si="2"/>
        <v>10</v>
      </c>
      <c r="P36" s="158">
        <f t="shared" si="0"/>
        <v>1</v>
      </c>
      <c r="Q36" s="355">
        <f t="shared" si="1"/>
        <v>43.39</v>
      </c>
      <c r="R36" s="335"/>
      <c r="S36" s="317">
        <f t="shared" si="3"/>
        <v>0</v>
      </c>
    </row>
    <row r="37" spans="2:19" s="336" customFormat="1" ht="21.75" customHeight="1">
      <c r="B37" s="65">
        <v>32</v>
      </c>
      <c r="C37" s="337" t="s">
        <v>58</v>
      </c>
      <c r="D37" s="338" t="s">
        <v>164</v>
      </c>
      <c r="E37" s="66" t="s">
        <v>273</v>
      </c>
      <c r="F37" s="276">
        <v>178.5</v>
      </c>
      <c r="G37" s="456">
        <v>7.7510000000000003</v>
      </c>
      <c r="H37" s="289">
        <f t="shared" si="4"/>
        <v>1383.5535</v>
      </c>
      <c r="I37" s="335"/>
      <c r="J37" s="308">
        <v>84</v>
      </c>
      <c r="K37" s="308">
        <v>0</v>
      </c>
      <c r="L37" s="308">
        <f>20+84+34.5</f>
        <v>138.5</v>
      </c>
      <c r="M37" s="308">
        <v>143</v>
      </c>
      <c r="N37" s="364">
        <f>'Packing List Items'!R155+'Packing List Items'!R157+'Packing List Items'!R165</f>
        <v>300</v>
      </c>
      <c r="O37" s="307">
        <f t="shared" si="2"/>
        <v>665.5</v>
      </c>
      <c r="P37" s="271">
        <f t="shared" si="0"/>
        <v>3.7282913165266107</v>
      </c>
      <c r="Q37" s="356">
        <f>O37*G37</f>
        <v>5158.2905000000001</v>
      </c>
      <c r="R37" s="335"/>
      <c r="S37" s="320">
        <f>(F37-O37)*G37</f>
        <v>-3774.7370000000001</v>
      </c>
    </row>
    <row r="38" spans="2:19" s="336" customFormat="1" ht="21.75" customHeight="1">
      <c r="B38" s="65">
        <v>33</v>
      </c>
      <c r="C38" s="337" t="s">
        <v>165</v>
      </c>
      <c r="D38" s="338" t="s">
        <v>166</v>
      </c>
      <c r="E38" s="66" t="s">
        <v>273</v>
      </c>
      <c r="F38" s="276">
        <v>348</v>
      </c>
      <c r="G38" s="456">
        <v>9.4719999999999995</v>
      </c>
      <c r="H38" s="289">
        <f t="shared" si="4"/>
        <v>3296.2559999999999</v>
      </c>
      <c r="I38" s="335"/>
      <c r="J38" s="308">
        <v>0</v>
      </c>
      <c r="K38" s="308">
        <v>0</v>
      </c>
      <c r="L38" s="308">
        <v>0</v>
      </c>
      <c r="M38" s="308">
        <f>146+100+102</f>
        <v>348</v>
      </c>
      <c r="N38" s="308">
        <v>0</v>
      </c>
      <c r="O38" s="307">
        <f t="shared" si="2"/>
        <v>348</v>
      </c>
      <c r="P38" s="158">
        <f t="shared" si="0"/>
        <v>1</v>
      </c>
      <c r="Q38" s="355">
        <f t="shared" si="1"/>
        <v>3296.2559999999999</v>
      </c>
      <c r="R38" s="335"/>
      <c r="S38" s="317">
        <f t="shared" si="3"/>
        <v>0</v>
      </c>
    </row>
    <row r="39" spans="2:19" s="336" customFormat="1" ht="21.75" customHeight="1">
      <c r="B39" s="65">
        <v>34</v>
      </c>
      <c r="C39" s="337" t="s">
        <v>167</v>
      </c>
      <c r="D39" s="338" t="s">
        <v>168</v>
      </c>
      <c r="E39" s="66" t="s">
        <v>273</v>
      </c>
      <c r="F39" s="275">
        <v>238</v>
      </c>
      <c r="G39" s="456">
        <v>11.553000000000001</v>
      </c>
      <c r="H39" s="289">
        <f t="shared" si="4"/>
        <v>2749.614</v>
      </c>
      <c r="I39" s="335"/>
      <c r="J39" s="308">
        <v>0</v>
      </c>
      <c r="K39" s="308">
        <v>0</v>
      </c>
      <c r="L39" s="308">
        <v>0</v>
      </c>
      <c r="M39" s="308">
        <f>160+78</f>
        <v>238</v>
      </c>
      <c r="N39" s="308">
        <v>0</v>
      </c>
      <c r="O39" s="307">
        <f t="shared" si="2"/>
        <v>238</v>
      </c>
      <c r="P39" s="158">
        <f t="shared" si="0"/>
        <v>1</v>
      </c>
      <c r="Q39" s="355">
        <f t="shared" si="1"/>
        <v>2749.614</v>
      </c>
      <c r="R39" s="335"/>
      <c r="S39" s="317">
        <f t="shared" si="3"/>
        <v>0</v>
      </c>
    </row>
    <row r="40" spans="2:19" s="336" customFormat="1" ht="21.75" customHeight="1">
      <c r="B40" s="65">
        <v>35</v>
      </c>
      <c r="C40" s="342" t="s">
        <v>169</v>
      </c>
      <c r="D40" s="338" t="s">
        <v>170</v>
      </c>
      <c r="E40" s="66" t="s">
        <v>273</v>
      </c>
      <c r="F40" s="322">
        <v>187</v>
      </c>
      <c r="G40" s="456">
        <v>7.7510000000000003</v>
      </c>
      <c r="H40" s="289">
        <f t="shared" si="4"/>
        <v>1449.4370000000001</v>
      </c>
      <c r="I40" s="335"/>
      <c r="J40" s="308">
        <v>0</v>
      </c>
      <c r="K40" s="308">
        <v>0</v>
      </c>
      <c r="L40" s="308">
        <v>0</v>
      </c>
      <c r="M40" s="308">
        <v>0</v>
      </c>
      <c r="N40" s="308">
        <v>0</v>
      </c>
      <c r="O40" s="307">
        <f t="shared" si="2"/>
        <v>0</v>
      </c>
      <c r="P40" s="270">
        <f t="shared" si="0"/>
        <v>0</v>
      </c>
      <c r="Q40" s="357">
        <f t="shared" si="1"/>
        <v>0</v>
      </c>
      <c r="R40" s="335"/>
      <c r="S40" s="321">
        <f t="shared" si="3"/>
        <v>1449.4370000000001</v>
      </c>
    </row>
    <row r="41" spans="2:19" s="336" customFormat="1" ht="21.75" customHeight="1">
      <c r="B41" s="65">
        <v>36</v>
      </c>
      <c r="C41" s="337" t="s">
        <v>186</v>
      </c>
      <c r="D41" s="338" t="s">
        <v>187</v>
      </c>
      <c r="E41" s="66" t="s">
        <v>274</v>
      </c>
      <c r="F41" s="276">
        <v>223</v>
      </c>
      <c r="G41" s="456">
        <v>15.891999999999999</v>
      </c>
      <c r="H41" s="289">
        <f t="shared" si="4"/>
        <v>3543.9159999999997</v>
      </c>
      <c r="I41" s="335"/>
      <c r="J41" s="308">
        <v>0</v>
      </c>
      <c r="K41" s="308">
        <v>223</v>
      </c>
      <c r="L41" s="308">
        <v>0</v>
      </c>
      <c r="M41" s="308">
        <v>0</v>
      </c>
      <c r="N41" s="308">
        <v>0</v>
      </c>
      <c r="O41" s="307">
        <f t="shared" si="2"/>
        <v>223</v>
      </c>
      <c r="P41" s="158">
        <f t="shared" si="0"/>
        <v>1</v>
      </c>
      <c r="Q41" s="355">
        <f t="shared" si="1"/>
        <v>3543.9159999999997</v>
      </c>
      <c r="R41" s="335"/>
      <c r="S41" s="317">
        <f t="shared" si="3"/>
        <v>0</v>
      </c>
    </row>
    <row r="42" spans="2:19" s="336" customFormat="1" ht="21.75" customHeight="1">
      <c r="B42" s="65">
        <v>37</v>
      </c>
      <c r="C42" s="337" t="s">
        <v>171</v>
      </c>
      <c r="D42" s="338" t="s">
        <v>172</v>
      </c>
      <c r="E42" s="66" t="s">
        <v>273</v>
      </c>
      <c r="F42" s="276">
        <v>40</v>
      </c>
      <c r="G42" s="456">
        <v>5.1340000000000003</v>
      </c>
      <c r="H42" s="289">
        <f t="shared" si="4"/>
        <v>205.36</v>
      </c>
      <c r="I42" s="335"/>
      <c r="J42" s="308">
        <v>0</v>
      </c>
      <c r="K42" s="308">
        <v>0</v>
      </c>
      <c r="L42" s="308">
        <v>0</v>
      </c>
      <c r="M42" s="308">
        <v>40</v>
      </c>
      <c r="N42" s="308">
        <v>0</v>
      </c>
      <c r="O42" s="307">
        <f t="shared" si="2"/>
        <v>40</v>
      </c>
      <c r="P42" s="158">
        <f t="shared" si="0"/>
        <v>1</v>
      </c>
      <c r="Q42" s="355">
        <f t="shared" si="1"/>
        <v>205.36</v>
      </c>
      <c r="R42" s="335"/>
      <c r="S42" s="317">
        <f t="shared" si="3"/>
        <v>0</v>
      </c>
    </row>
    <row r="43" spans="2:19" s="336" customFormat="1" ht="21.75" customHeight="1">
      <c r="B43" s="65">
        <v>38</v>
      </c>
      <c r="C43" s="337" t="s">
        <v>173</v>
      </c>
      <c r="D43" s="338" t="s">
        <v>174</v>
      </c>
      <c r="E43" s="66" t="s">
        <v>273</v>
      </c>
      <c r="F43" s="276">
        <v>102.5</v>
      </c>
      <c r="G43" s="456">
        <v>9.3290000000000006</v>
      </c>
      <c r="H43" s="289">
        <f t="shared" si="4"/>
        <v>956.22250000000008</v>
      </c>
      <c r="I43" s="335"/>
      <c r="J43" s="308">
        <v>0</v>
      </c>
      <c r="K43" s="308">
        <v>0</v>
      </c>
      <c r="L43" s="308">
        <v>0</v>
      </c>
      <c r="M43" s="308">
        <f>29+39+86+120+150+97</f>
        <v>521</v>
      </c>
      <c r="N43" s="308">
        <v>0</v>
      </c>
      <c r="O43" s="307">
        <f t="shared" si="2"/>
        <v>521</v>
      </c>
      <c r="P43" s="271">
        <f t="shared" si="0"/>
        <v>5.0829268292682928</v>
      </c>
      <c r="Q43" s="356">
        <f t="shared" si="1"/>
        <v>4860.4090000000006</v>
      </c>
      <c r="R43" s="335"/>
      <c r="S43" s="320">
        <f t="shared" si="3"/>
        <v>-3904.1865000000003</v>
      </c>
    </row>
    <row r="44" spans="2:19" s="336" customFormat="1" ht="21.75" customHeight="1">
      <c r="B44" s="65">
        <v>39</v>
      </c>
      <c r="C44" s="337" t="s">
        <v>175</v>
      </c>
      <c r="D44" s="338" t="s">
        <v>176</v>
      </c>
      <c r="E44" s="66" t="s">
        <v>273</v>
      </c>
      <c r="F44" s="322">
        <v>573.5</v>
      </c>
      <c r="G44" s="456">
        <v>11.266999999999999</v>
      </c>
      <c r="H44" s="289">
        <f t="shared" si="4"/>
        <v>6461.6244999999999</v>
      </c>
      <c r="I44" s="335"/>
      <c r="J44" s="308">
        <v>0</v>
      </c>
      <c r="K44" s="308">
        <v>155</v>
      </c>
      <c r="L44" s="308">
        <v>0</v>
      </c>
      <c r="M44" s="308">
        <f>37+14+77+170+40+29.5+50.5</f>
        <v>418</v>
      </c>
      <c r="N44" s="308">
        <v>0</v>
      </c>
      <c r="O44" s="307">
        <f t="shared" si="2"/>
        <v>573</v>
      </c>
      <c r="P44" s="270">
        <f t="shared" si="0"/>
        <v>0.99912816041848296</v>
      </c>
      <c r="Q44" s="357">
        <f t="shared" si="1"/>
        <v>6455.991</v>
      </c>
      <c r="R44" s="335"/>
      <c r="S44" s="321">
        <f t="shared" si="3"/>
        <v>5.6334999999999997</v>
      </c>
    </row>
    <row r="45" spans="2:19" s="336" customFormat="1" ht="21.75" customHeight="1">
      <c r="B45" s="65">
        <v>40</v>
      </c>
      <c r="C45" s="337" t="s">
        <v>71</v>
      </c>
      <c r="D45" s="338" t="s">
        <v>177</v>
      </c>
      <c r="E45" s="66" t="s">
        <v>273</v>
      </c>
      <c r="F45" s="275">
        <v>216</v>
      </c>
      <c r="G45" s="456">
        <v>13.634</v>
      </c>
      <c r="H45" s="289">
        <f t="shared" si="4"/>
        <v>2944.944</v>
      </c>
      <c r="I45" s="335"/>
      <c r="J45" s="308">
        <v>216</v>
      </c>
      <c r="K45" s="308">
        <v>0</v>
      </c>
      <c r="L45" s="308">
        <v>0</v>
      </c>
      <c r="M45" s="308">
        <v>0</v>
      </c>
      <c r="N45" s="308">
        <v>0</v>
      </c>
      <c r="O45" s="307">
        <f t="shared" si="2"/>
        <v>216</v>
      </c>
      <c r="P45" s="158">
        <f t="shared" si="0"/>
        <v>1</v>
      </c>
      <c r="Q45" s="355">
        <f t="shared" si="1"/>
        <v>2944.944</v>
      </c>
      <c r="R45" s="335"/>
      <c r="S45" s="317">
        <f t="shared" si="3"/>
        <v>0</v>
      </c>
    </row>
    <row r="46" spans="2:19" s="336" customFormat="1" ht="21.75" customHeight="1">
      <c r="B46" s="65">
        <v>41</v>
      </c>
      <c r="C46" s="343" t="s">
        <v>178</v>
      </c>
      <c r="D46" s="344" t="s">
        <v>179</v>
      </c>
      <c r="E46" s="66" t="s">
        <v>273</v>
      </c>
      <c r="F46" s="323">
        <v>241</v>
      </c>
      <c r="G46" s="458">
        <v>9.3290000000000006</v>
      </c>
      <c r="H46" s="289">
        <f t="shared" si="4"/>
        <v>2248.2890000000002</v>
      </c>
      <c r="I46" s="335"/>
      <c r="J46" s="310">
        <v>0</v>
      </c>
      <c r="K46" s="308">
        <v>0</v>
      </c>
      <c r="L46" s="308">
        <v>0</v>
      </c>
      <c r="M46" s="308">
        <v>0</v>
      </c>
      <c r="N46" s="308">
        <v>0</v>
      </c>
      <c r="O46" s="307">
        <f t="shared" si="2"/>
        <v>0</v>
      </c>
      <c r="P46" s="270">
        <f t="shared" si="0"/>
        <v>0</v>
      </c>
      <c r="Q46" s="357">
        <f t="shared" si="1"/>
        <v>0</v>
      </c>
      <c r="R46" s="335"/>
      <c r="S46" s="321">
        <f t="shared" si="3"/>
        <v>2248.2890000000002</v>
      </c>
    </row>
    <row r="47" spans="2:19" s="336" customFormat="1" ht="21.75" customHeight="1">
      <c r="B47" s="65">
        <v>42</v>
      </c>
      <c r="C47" s="345" t="s">
        <v>186</v>
      </c>
      <c r="D47" s="344" t="s">
        <v>187</v>
      </c>
      <c r="E47" s="66" t="s">
        <v>274</v>
      </c>
      <c r="F47" s="279">
        <v>328</v>
      </c>
      <c r="G47" s="458">
        <v>15.891999999999999</v>
      </c>
      <c r="H47" s="289">
        <f t="shared" si="4"/>
        <v>5212.576</v>
      </c>
      <c r="I47" s="335"/>
      <c r="J47" s="310">
        <v>0</v>
      </c>
      <c r="K47" s="310">
        <v>328</v>
      </c>
      <c r="L47" s="310">
        <v>0</v>
      </c>
      <c r="M47" s="310">
        <v>24</v>
      </c>
      <c r="N47" s="308">
        <v>0</v>
      </c>
      <c r="O47" s="307">
        <f t="shared" si="2"/>
        <v>352</v>
      </c>
      <c r="P47" s="271">
        <f t="shared" si="0"/>
        <v>1.0731707317073171</v>
      </c>
      <c r="Q47" s="356">
        <f t="shared" si="1"/>
        <v>5593.9839999999995</v>
      </c>
      <c r="R47" s="335"/>
      <c r="S47" s="320">
        <f t="shared" si="3"/>
        <v>-381.40800000000002</v>
      </c>
    </row>
    <row r="48" spans="2:19" s="336" customFormat="1" ht="21.75" customHeight="1">
      <c r="B48" s="65">
        <v>43</v>
      </c>
      <c r="C48" s="343" t="s">
        <v>180</v>
      </c>
      <c r="D48" s="344" t="s">
        <v>181</v>
      </c>
      <c r="E48" s="66" t="s">
        <v>273</v>
      </c>
      <c r="F48" s="323">
        <v>177.5</v>
      </c>
      <c r="G48" s="458">
        <v>9.3290000000000006</v>
      </c>
      <c r="H48" s="289">
        <f t="shared" si="4"/>
        <v>1655.8975</v>
      </c>
      <c r="I48" s="335"/>
      <c r="J48" s="310">
        <v>0</v>
      </c>
      <c r="K48" s="308">
        <v>0</v>
      </c>
      <c r="L48" s="308">
        <v>0</v>
      </c>
      <c r="M48" s="308">
        <v>0</v>
      </c>
      <c r="N48" s="308">
        <v>0</v>
      </c>
      <c r="O48" s="307">
        <f t="shared" si="2"/>
        <v>0</v>
      </c>
      <c r="P48" s="270">
        <f t="shared" si="0"/>
        <v>0</v>
      </c>
      <c r="Q48" s="357">
        <f t="shared" si="1"/>
        <v>0</v>
      </c>
      <c r="R48" s="335"/>
      <c r="S48" s="321">
        <f t="shared" si="3"/>
        <v>1655.8975</v>
      </c>
    </row>
    <row r="49" spans="2:19" s="336" customFormat="1" ht="21.75" customHeight="1">
      <c r="B49" s="65">
        <v>44</v>
      </c>
      <c r="C49" s="345" t="s">
        <v>290</v>
      </c>
      <c r="D49" s="344" t="s">
        <v>231</v>
      </c>
      <c r="E49" s="66" t="s">
        <v>274</v>
      </c>
      <c r="F49" s="278">
        <v>253</v>
      </c>
      <c r="G49" s="458">
        <v>16.7</v>
      </c>
      <c r="H49" s="289">
        <f t="shared" si="4"/>
        <v>4225.0999999999995</v>
      </c>
      <c r="I49" s="335"/>
      <c r="J49" s="310">
        <v>0</v>
      </c>
      <c r="K49" s="310">
        <v>253</v>
      </c>
      <c r="L49" s="310">
        <v>0</v>
      </c>
      <c r="M49" s="310">
        <v>0</v>
      </c>
      <c r="N49" s="364">
        <f>'Packing List Items'!R148+'Packing List Items'!R147-0.08</f>
        <v>699.99999999999989</v>
      </c>
      <c r="O49" s="307">
        <f t="shared" si="2"/>
        <v>952.99999999999989</v>
      </c>
      <c r="P49" s="271">
        <f t="shared" si="0"/>
        <v>3.7667984189723316</v>
      </c>
      <c r="Q49" s="356">
        <f t="shared" si="1"/>
        <v>15915.099999999997</v>
      </c>
      <c r="R49" s="335"/>
      <c r="S49" s="320">
        <f t="shared" si="3"/>
        <v>-11689.999999999998</v>
      </c>
    </row>
    <row r="50" spans="2:19" s="336" customFormat="1" ht="21.75" customHeight="1">
      <c r="B50" s="65">
        <v>45</v>
      </c>
      <c r="C50" s="345" t="s">
        <v>182</v>
      </c>
      <c r="D50" s="344" t="s">
        <v>183</v>
      </c>
      <c r="E50" s="66" t="s">
        <v>273</v>
      </c>
      <c r="F50" s="278">
        <v>1.1000000000000001</v>
      </c>
      <c r="G50" s="458">
        <v>10.888</v>
      </c>
      <c r="H50" s="289">
        <f t="shared" si="4"/>
        <v>11.976800000000001</v>
      </c>
      <c r="I50" s="335"/>
      <c r="J50" s="310">
        <v>0</v>
      </c>
      <c r="K50" s="310">
        <v>1.1000000000000001</v>
      </c>
      <c r="L50" s="310">
        <v>0</v>
      </c>
      <c r="M50" s="310">
        <v>0</v>
      </c>
      <c r="N50" s="308">
        <v>0</v>
      </c>
      <c r="O50" s="307">
        <f t="shared" si="2"/>
        <v>1.1000000000000001</v>
      </c>
      <c r="P50" s="158">
        <f t="shared" si="0"/>
        <v>1</v>
      </c>
      <c r="Q50" s="355">
        <f t="shared" si="1"/>
        <v>11.976800000000001</v>
      </c>
      <c r="R50" s="335"/>
      <c r="S50" s="317">
        <f t="shared" si="3"/>
        <v>0</v>
      </c>
    </row>
    <row r="51" spans="2:19" s="336" customFormat="1" ht="21.75" customHeight="1">
      <c r="B51" s="65">
        <v>46</v>
      </c>
      <c r="C51" s="345" t="s">
        <v>184</v>
      </c>
      <c r="D51" s="344" t="s">
        <v>185</v>
      </c>
      <c r="E51" s="66" t="s">
        <v>273</v>
      </c>
      <c r="F51" s="278">
        <v>5.5</v>
      </c>
      <c r="G51" s="458">
        <v>7.8010000000000002</v>
      </c>
      <c r="H51" s="289">
        <f t="shared" si="4"/>
        <v>42.905500000000004</v>
      </c>
      <c r="I51" s="335"/>
      <c r="J51" s="310">
        <v>0</v>
      </c>
      <c r="K51" s="310">
        <v>5.5</v>
      </c>
      <c r="L51" s="310">
        <v>0</v>
      </c>
      <c r="M51" s="310">
        <v>0</v>
      </c>
      <c r="N51" s="308">
        <v>0</v>
      </c>
      <c r="O51" s="307">
        <f t="shared" si="2"/>
        <v>5.5</v>
      </c>
      <c r="P51" s="158">
        <f t="shared" si="0"/>
        <v>1</v>
      </c>
      <c r="Q51" s="355">
        <f t="shared" si="1"/>
        <v>42.905500000000004</v>
      </c>
      <c r="R51" s="335"/>
      <c r="S51" s="317">
        <f t="shared" si="3"/>
        <v>0</v>
      </c>
    </row>
    <row r="52" spans="2:19" s="336" customFormat="1" ht="21.75" customHeight="1">
      <c r="B52" s="65">
        <v>47</v>
      </c>
      <c r="C52" s="345" t="s">
        <v>186</v>
      </c>
      <c r="D52" s="344" t="s">
        <v>187</v>
      </c>
      <c r="E52" s="66" t="s">
        <v>274</v>
      </c>
      <c r="F52" s="279">
        <v>87.78</v>
      </c>
      <c r="G52" s="458">
        <v>15.891999999999999</v>
      </c>
      <c r="H52" s="289">
        <f t="shared" si="4"/>
        <v>1394.9997599999999</v>
      </c>
      <c r="I52" s="335"/>
      <c r="J52" s="310">
        <v>0</v>
      </c>
      <c r="K52" s="310">
        <v>87.78</v>
      </c>
      <c r="L52" s="310">
        <v>0</v>
      </c>
      <c r="M52" s="310">
        <v>0</v>
      </c>
      <c r="N52" s="308">
        <v>0</v>
      </c>
      <c r="O52" s="307">
        <f t="shared" si="2"/>
        <v>87.78</v>
      </c>
      <c r="P52" s="158">
        <f t="shared" si="0"/>
        <v>1</v>
      </c>
      <c r="Q52" s="355">
        <f t="shared" si="1"/>
        <v>1394.9997599999999</v>
      </c>
      <c r="R52" s="335"/>
      <c r="S52" s="317">
        <f t="shared" si="3"/>
        <v>0</v>
      </c>
    </row>
    <row r="53" spans="2:19" s="336" customFormat="1" ht="21.75" customHeight="1">
      <c r="B53" s="65">
        <v>48</v>
      </c>
      <c r="C53" s="345" t="s">
        <v>188</v>
      </c>
      <c r="D53" s="344" t="s">
        <v>189</v>
      </c>
      <c r="E53" s="66" t="s">
        <v>274</v>
      </c>
      <c r="F53" s="279">
        <v>1007.6</v>
      </c>
      <c r="G53" s="458">
        <v>17.507999999999999</v>
      </c>
      <c r="H53" s="289">
        <f t="shared" si="4"/>
        <v>17641.060799999999</v>
      </c>
      <c r="I53" s="335"/>
      <c r="J53" s="310">
        <v>0</v>
      </c>
      <c r="K53" s="310">
        <f>240+997.5</f>
        <v>1237.5</v>
      </c>
      <c r="L53" s="310">
        <v>0</v>
      </c>
      <c r="M53" s="310">
        <f>223.2+18</f>
        <v>241.2</v>
      </c>
      <c r="N53" s="308">
        <v>0</v>
      </c>
      <c r="O53" s="307">
        <f t="shared" si="2"/>
        <v>1478.7</v>
      </c>
      <c r="P53" s="271">
        <f t="shared" si="0"/>
        <v>1.4675466454942439</v>
      </c>
      <c r="Q53" s="356">
        <f t="shared" si="1"/>
        <v>25889.079600000001</v>
      </c>
      <c r="R53" s="335"/>
      <c r="S53" s="320">
        <f t="shared" si="3"/>
        <v>-8248.0187999999998</v>
      </c>
    </row>
    <row r="54" spans="2:19" s="336" customFormat="1" ht="21.75" customHeight="1">
      <c r="B54" s="65">
        <v>49</v>
      </c>
      <c r="C54" s="345" t="s">
        <v>190</v>
      </c>
      <c r="D54" s="344" t="s">
        <v>191</v>
      </c>
      <c r="E54" s="66" t="s">
        <v>274</v>
      </c>
      <c r="F54" s="279">
        <v>1310.0999999999999</v>
      </c>
      <c r="G54" s="458">
        <v>18.315999999999999</v>
      </c>
      <c r="H54" s="289">
        <f t="shared" si="4"/>
        <v>23995.791599999997</v>
      </c>
      <c r="I54" s="335"/>
      <c r="J54" s="310">
        <v>0</v>
      </c>
      <c r="K54" s="310">
        <f>864+446.1</f>
        <v>1310.0999999999999</v>
      </c>
      <c r="L54" s="310">
        <v>0</v>
      </c>
      <c r="M54" s="310">
        <v>153.6</v>
      </c>
      <c r="N54" s="308">
        <v>0</v>
      </c>
      <c r="O54" s="307">
        <f t="shared" si="2"/>
        <v>1463.6999999999998</v>
      </c>
      <c r="P54" s="271">
        <f t="shared" si="0"/>
        <v>1.1172429585527821</v>
      </c>
      <c r="Q54" s="356">
        <f t="shared" si="1"/>
        <v>26809.129199999996</v>
      </c>
      <c r="R54" s="335"/>
      <c r="S54" s="320">
        <f t="shared" si="3"/>
        <v>-2813.337599999998</v>
      </c>
    </row>
    <row r="55" spans="2:19" s="336" customFormat="1" ht="21.75" customHeight="1">
      <c r="B55" s="65">
        <v>50</v>
      </c>
      <c r="C55" s="345" t="s">
        <v>192</v>
      </c>
      <c r="D55" s="344" t="s">
        <v>193</v>
      </c>
      <c r="E55" s="66" t="s">
        <v>274</v>
      </c>
      <c r="F55" s="279">
        <v>1243</v>
      </c>
      <c r="G55" s="458">
        <v>19.123999999999999</v>
      </c>
      <c r="H55" s="289">
        <f t="shared" si="4"/>
        <v>23771.131999999998</v>
      </c>
      <c r="I55" s="335"/>
      <c r="J55" s="310">
        <v>0</v>
      </c>
      <c r="K55" s="310">
        <f>100.8+307.2+187+648</f>
        <v>1243</v>
      </c>
      <c r="L55" s="310">
        <v>0</v>
      </c>
      <c r="M55" s="310">
        <v>0</v>
      </c>
      <c r="N55" s="308">
        <v>0</v>
      </c>
      <c r="O55" s="307">
        <f t="shared" si="2"/>
        <v>1243</v>
      </c>
      <c r="P55" s="158">
        <f t="shared" si="0"/>
        <v>1</v>
      </c>
      <c r="Q55" s="355">
        <f t="shared" si="1"/>
        <v>23771.131999999998</v>
      </c>
      <c r="R55" s="335"/>
      <c r="S55" s="317">
        <f t="shared" si="3"/>
        <v>0</v>
      </c>
    </row>
    <row r="56" spans="2:19" s="336" customFormat="1" ht="21.75" customHeight="1">
      <c r="B56" s="65">
        <v>51</v>
      </c>
      <c r="C56" s="345" t="s">
        <v>194</v>
      </c>
      <c r="D56" s="344" t="s">
        <v>195</v>
      </c>
      <c r="E56" s="66" t="s">
        <v>274</v>
      </c>
      <c r="F56" s="279">
        <v>403.7</v>
      </c>
      <c r="G56" s="458">
        <v>19.931999999999999</v>
      </c>
      <c r="H56" s="289">
        <f t="shared" si="4"/>
        <v>8046.5483999999988</v>
      </c>
      <c r="I56" s="335"/>
      <c r="J56" s="310">
        <v>0</v>
      </c>
      <c r="K56" s="310">
        <v>403.7</v>
      </c>
      <c r="L56" s="310">
        <v>0</v>
      </c>
      <c r="M56" s="310">
        <v>0</v>
      </c>
      <c r="N56" s="308">
        <v>0</v>
      </c>
      <c r="O56" s="307">
        <f t="shared" si="2"/>
        <v>403.7</v>
      </c>
      <c r="P56" s="158">
        <f t="shared" si="0"/>
        <v>1</v>
      </c>
      <c r="Q56" s="355">
        <f t="shared" si="1"/>
        <v>8046.5483999999988</v>
      </c>
      <c r="R56" s="335"/>
      <c r="S56" s="317">
        <f t="shared" si="3"/>
        <v>0</v>
      </c>
    </row>
    <row r="57" spans="2:19" s="336" customFormat="1" ht="21.75" customHeight="1">
      <c r="B57" s="65">
        <v>52</v>
      </c>
      <c r="C57" s="345" t="s">
        <v>196</v>
      </c>
      <c r="D57" s="344" t="s">
        <v>197</v>
      </c>
      <c r="E57" s="66" t="s">
        <v>274</v>
      </c>
      <c r="F57" s="279">
        <v>822.8</v>
      </c>
      <c r="G57" s="458">
        <v>20.74</v>
      </c>
      <c r="H57" s="289">
        <f t="shared" si="4"/>
        <v>17064.871999999999</v>
      </c>
      <c r="I57" s="335"/>
      <c r="J57" s="310">
        <v>0</v>
      </c>
      <c r="K57" s="310">
        <f>648+174.84-0.04</f>
        <v>822.80000000000007</v>
      </c>
      <c r="L57" s="310">
        <v>0</v>
      </c>
      <c r="M57" s="310">
        <v>211</v>
      </c>
      <c r="N57" s="308">
        <v>0</v>
      </c>
      <c r="O57" s="307">
        <f t="shared" si="2"/>
        <v>1033.8000000000002</v>
      </c>
      <c r="P57" s="271">
        <f t="shared" si="0"/>
        <v>1.256441419543024</v>
      </c>
      <c r="Q57" s="356">
        <f t="shared" si="1"/>
        <v>21441.012000000002</v>
      </c>
      <c r="R57" s="335"/>
      <c r="S57" s="320">
        <f t="shared" si="3"/>
        <v>-4376.140000000004</v>
      </c>
    </row>
    <row r="58" spans="2:19" s="336" customFormat="1" ht="21.75" customHeight="1">
      <c r="B58" s="65">
        <v>53</v>
      </c>
      <c r="C58" s="345" t="s">
        <v>198</v>
      </c>
      <c r="D58" s="344" t="s">
        <v>199</v>
      </c>
      <c r="E58" s="66" t="s">
        <v>274</v>
      </c>
      <c r="F58" s="278">
        <v>11.88</v>
      </c>
      <c r="G58" s="458">
        <v>21.547999999999998</v>
      </c>
      <c r="H58" s="289">
        <f t="shared" si="4"/>
        <v>255.99024</v>
      </c>
      <c r="I58" s="335"/>
      <c r="J58" s="310">
        <v>0</v>
      </c>
      <c r="K58" s="310">
        <v>11.88</v>
      </c>
      <c r="L58" s="310">
        <v>0</v>
      </c>
      <c r="M58" s="310">
        <v>0</v>
      </c>
      <c r="N58" s="308">
        <v>0</v>
      </c>
      <c r="O58" s="307">
        <f t="shared" si="2"/>
        <v>11.88</v>
      </c>
      <c r="P58" s="158">
        <f t="shared" si="0"/>
        <v>1</v>
      </c>
      <c r="Q58" s="355">
        <f t="shared" si="1"/>
        <v>255.99024</v>
      </c>
      <c r="R58" s="335"/>
      <c r="S58" s="317">
        <f t="shared" si="3"/>
        <v>0</v>
      </c>
    </row>
    <row r="59" spans="2:19" s="336" customFormat="1" ht="21.75" customHeight="1">
      <c r="B59" s="65">
        <v>54</v>
      </c>
      <c r="C59" s="343" t="s">
        <v>200</v>
      </c>
      <c r="D59" s="344" t="s">
        <v>201</v>
      </c>
      <c r="E59" s="66" t="s">
        <v>274</v>
      </c>
      <c r="F59" s="323">
        <v>229.9</v>
      </c>
      <c r="G59" s="458">
        <v>17.507999999999999</v>
      </c>
      <c r="H59" s="289">
        <f t="shared" si="4"/>
        <v>4025.0891999999999</v>
      </c>
      <c r="I59" s="335"/>
      <c r="J59" s="310">
        <v>0</v>
      </c>
      <c r="K59" s="308">
        <v>0</v>
      </c>
      <c r="L59" s="308">
        <v>0</v>
      </c>
      <c r="M59" s="308">
        <v>0</v>
      </c>
      <c r="N59" s="308">
        <v>0</v>
      </c>
      <c r="O59" s="307">
        <f t="shared" si="2"/>
        <v>0</v>
      </c>
      <c r="P59" s="270">
        <f t="shared" si="0"/>
        <v>0</v>
      </c>
      <c r="Q59" s="357">
        <f t="shared" si="1"/>
        <v>0</v>
      </c>
      <c r="R59" s="335"/>
      <c r="S59" s="321">
        <f t="shared" si="3"/>
        <v>4025.0891999999999</v>
      </c>
    </row>
    <row r="60" spans="2:19" s="336" customFormat="1" ht="21.75" customHeight="1">
      <c r="B60" s="65">
        <v>55</v>
      </c>
      <c r="C60" s="345" t="s">
        <v>190</v>
      </c>
      <c r="D60" s="344" t="s">
        <v>191</v>
      </c>
      <c r="E60" s="66" t="s">
        <v>274</v>
      </c>
      <c r="F60" s="279">
        <v>229.9</v>
      </c>
      <c r="G60" s="458">
        <v>18.315999999999999</v>
      </c>
      <c r="H60" s="289">
        <f t="shared" si="4"/>
        <v>4210.8483999999999</v>
      </c>
      <c r="I60" s="335"/>
      <c r="J60" s="310">
        <v>0</v>
      </c>
      <c r="K60" s="310">
        <f>230.7-0.8</f>
        <v>229.89999999999998</v>
      </c>
      <c r="L60" s="310">
        <v>0</v>
      </c>
      <c r="M60" s="310">
        <v>280.8</v>
      </c>
      <c r="N60" s="308">
        <v>0</v>
      </c>
      <c r="O60" s="307">
        <f t="shared" si="2"/>
        <v>510.7</v>
      </c>
      <c r="P60" s="271">
        <f t="shared" si="0"/>
        <v>2.2214006089604177</v>
      </c>
      <c r="Q60" s="356">
        <f t="shared" si="1"/>
        <v>9353.9811999999984</v>
      </c>
      <c r="R60" s="335"/>
      <c r="S60" s="320">
        <f t="shared" si="3"/>
        <v>-5143.1327999999985</v>
      </c>
    </row>
    <row r="61" spans="2:19" s="336" customFormat="1" ht="21.75" customHeight="1">
      <c r="B61" s="65">
        <v>56</v>
      </c>
      <c r="C61" s="345" t="s">
        <v>87</v>
      </c>
      <c r="D61" s="344" t="s">
        <v>202</v>
      </c>
      <c r="E61" s="66" t="s">
        <v>274</v>
      </c>
      <c r="F61" s="278">
        <v>5869.6</v>
      </c>
      <c r="G61" s="458">
        <v>11.313000000000001</v>
      </c>
      <c r="H61" s="289">
        <f t="shared" si="4"/>
        <v>66402.784800000009</v>
      </c>
      <c r="I61" s="335"/>
      <c r="J61" s="310">
        <v>5869.6</v>
      </c>
      <c r="K61" s="308">
        <v>0</v>
      </c>
      <c r="L61" s="308">
        <v>0</v>
      </c>
      <c r="M61" s="308">
        <v>0</v>
      </c>
      <c r="N61" s="308">
        <v>0</v>
      </c>
      <c r="O61" s="307">
        <f t="shared" si="2"/>
        <v>5869.6</v>
      </c>
      <c r="P61" s="271">
        <f t="shared" si="0"/>
        <v>1</v>
      </c>
      <c r="Q61" s="356">
        <f t="shared" si="1"/>
        <v>66402.784800000009</v>
      </c>
      <c r="R61" s="335"/>
      <c r="S61" s="320">
        <f t="shared" si="3"/>
        <v>0</v>
      </c>
    </row>
    <row r="62" spans="2:19" s="336" customFormat="1" ht="21.75" customHeight="1">
      <c r="B62" s="65">
        <v>57</v>
      </c>
      <c r="C62" s="345" t="s">
        <v>63</v>
      </c>
      <c r="D62" s="344" t="s">
        <v>203</v>
      </c>
      <c r="E62" s="66" t="s">
        <v>274</v>
      </c>
      <c r="F62" s="278">
        <v>6906.9</v>
      </c>
      <c r="G62" s="458">
        <v>15.084</v>
      </c>
      <c r="H62" s="289">
        <f t="shared" si="4"/>
        <v>104183.67959999999</v>
      </c>
      <c r="I62" s="335"/>
      <c r="J62" s="310">
        <v>6906.9</v>
      </c>
      <c r="K62" s="308">
        <v>0</v>
      </c>
      <c r="L62" s="308">
        <v>0</v>
      </c>
      <c r="M62" s="308">
        <v>0</v>
      </c>
      <c r="N62" s="308">
        <v>0</v>
      </c>
      <c r="O62" s="307">
        <f t="shared" si="2"/>
        <v>6906.9</v>
      </c>
      <c r="P62" s="158">
        <f t="shared" si="0"/>
        <v>1</v>
      </c>
      <c r="Q62" s="355">
        <f t="shared" si="1"/>
        <v>104183.67959999999</v>
      </c>
      <c r="R62" s="335"/>
      <c r="S62" s="317">
        <f t="shared" si="3"/>
        <v>0</v>
      </c>
    </row>
    <row r="63" spans="2:19" s="336" customFormat="1" ht="21.75" customHeight="1">
      <c r="B63" s="65">
        <v>58</v>
      </c>
      <c r="C63" s="345" t="s">
        <v>66</v>
      </c>
      <c r="D63" s="344" t="s">
        <v>204</v>
      </c>
      <c r="E63" s="66" t="s">
        <v>274</v>
      </c>
      <c r="F63" s="278">
        <v>2156</v>
      </c>
      <c r="G63" s="458">
        <v>18.855</v>
      </c>
      <c r="H63" s="289">
        <f t="shared" si="4"/>
        <v>40651.379999999997</v>
      </c>
      <c r="I63" s="335"/>
      <c r="J63" s="310">
        <v>2156</v>
      </c>
      <c r="K63" s="308">
        <v>0</v>
      </c>
      <c r="L63" s="308">
        <v>0</v>
      </c>
      <c r="M63" s="308">
        <v>0</v>
      </c>
      <c r="N63" s="308">
        <v>0</v>
      </c>
      <c r="O63" s="307">
        <f t="shared" si="2"/>
        <v>2156</v>
      </c>
      <c r="P63" s="158">
        <f t="shared" si="0"/>
        <v>1</v>
      </c>
      <c r="Q63" s="355">
        <f t="shared" si="1"/>
        <v>40651.379999999997</v>
      </c>
      <c r="R63" s="335"/>
      <c r="S63" s="317">
        <f t="shared" si="3"/>
        <v>0</v>
      </c>
    </row>
    <row r="64" spans="2:19" s="336" customFormat="1" ht="21.75" customHeight="1">
      <c r="B64" s="65">
        <v>59</v>
      </c>
      <c r="C64" s="343" t="s">
        <v>90</v>
      </c>
      <c r="D64" s="344" t="s">
        <v>205</v>
      </c>
      <c r="E64" s="66" t="s">
        <v>265</v>
      </c>
      <c r="F64" s="323">
        <v>1</v>
      </c>
      <c r="G64" s="458"/>
      <c r="H64" s="289">
        <f t="shared" si="4"/>
        <v>0</v>
      </c>
      <c r="I64" s="335"/>
      <c r="J64" s="310">
        <v>0</v>
      </c>
      <c r="K64" s="308">
        <v>0</v>
      </c>
      <c r="L64" s="308">
        <v>0</v>
      </c>
      <c r="M64" s="308">
        <v>0</v>
      </c>
      <c r="N64" s="308">
        <v>0</v>
      </c>
      <c r="O64" s="307">
        <f t="shared" si="2"/>
        <v>0</v>
      </c>
      <c r="P64" s="270">
        <f t="shared" si="0"/>
        <v>0</v>
      </c>
      <c r="Q64" s="357">
        <f t="shared" si="1"/>
        <v>0</v>
      </c>
      <c r="R64" s="335"/>
      <c r="S64" s="321">
        <f t="shared" si="3"/>
        <v>0</v>
      </c>
    </row>
    <row r="65" spans="2:19" s="336" customFormat="1" ht="21.75" customHeight="1">
      <c r="B65" s="65">
        <v>60</v>
      </c>
      <c r="C65" s="345" t="s">
        <v>207</v>
      </c>
      <c r="D65" s="344" t="s">
        <v>208</v>
      </c>
      <c r="E65" s="66" t="s">
        <v>273</v>
      </c>
      <c r="F65" s="278">
        <v>1.1000000000000001</v>
      </c>
      <c r="G65" s="458">
        <v>6.3410000000000002</v>
      </c>
      <c r="H65" s="289">
        <f t="shared" si="4"/>
        <v>6.9751000000000012</v>
      </c>
      <c r="I65" s="335"/>
      <c r="J65" s="310">
        <v>0</v>
      </c>
      <c r="K65" s="310">
        <v>1.1000000000000001</v>
      </c>
      <c r="L65" s="310">
        <v>0</v>
      </c>
      <c r="M65" s="310">
        <v>0</v>
      </c>
      <c r="N65" s="308">
        <v>0</v>
      </c>
      <c r="O65" s="307">
        <f t="shared" si="2"/>
        <v>1.1000000000000001</v>
      </c>
      <c r="P65" s="158">
        <f t="shared" si="0"/>
        <v>1</v>
      </c>
      <c r="Q65" s="355">
        <f t="shared" si="1"/>
        <v>6.9751000000000012</v>
      </c>
      <c r="R65" s="335"/>
      <c r="S65" s="317">
        <f t="shared" si="3"/>
        <v>0</v>
      </c>
    </row>
    <row r="66" spans="2:19" s="336" customFormat="1" ht="21.75" customHeight="1">
      <c r="B66" s="65">
        <v>61</v>
      </c>
      <c r="C66" s="345" t="s">
        <v>209</v>
      </c>
      <c r="D66" s="344" t="s">
        <v>210</v>
      </c>
      <c r="E66" s="66" t="s">
        <v>273</v>
      </c>
      <c r="F66" s="278">
        <v>20.9</v>
      </c>
      <c r="G66" s="458">
        <v>6.95</v>
      </c>
      <c r="H66" s="289">
        <f t="shared" si="4"/>
        <v>145.255</v>
      </c>
      <c r="I66" s="335"/>
      <c r="J66" s="310">
        <v>0</v>
      </c>
      <c r="K66" s="310">
        <v>20.9</v>
      </c>
      <c r="L66" s="310">
        <v>0</v>
      </c>
      <c r="M66" s="310">
        <v>0</v>
      </c>
      <c r="N66" s="308">
        <v>0</v>
      </c>
      <c r="O66" s="307">
        <f t="shared" si="2"/>
        <v>20.9</v>
      </c>
      <c r="P66" s="158">
        <f t="shared" si="0"/>
        <v>1</v>
      </c>
      <c r="Q66" s="355">
        <f t="shared" si="1"/>
        <v>145.255</v>
      </c>
      <c r="R66" s="335"/>
      <c r="S66" s="317">
        <f t="shared" si="3"/>
        <v>0</v>
      </c>
    </row>
    <row r="67" spans="2:19" s="336" customFormat="1" ht="21.75" customHeight="1">
      <c r="B67" s="65">
        <v>62</v>
      </c>
      <c r="C67" s="345" t="s">
        <v>211</v>
      </c>
      <c r="D67" s="344" t="s">
        <v>212</v>
      </c>
      <c r="E67" s="66" t="s">
        <v>273</v>
      </c>
      <c r="F67" s="278">
        <v>8.8000000000000007</v>
      </c>
      <c r="G67" s="458">
        <v>9.6270000000000007</v>
      </c>
      <c r="H67" s="289">
        <f t="shared" si="4"/>
        <v>84.717600000000019</v>
      </c>
      <c r="I67" s="335"/>
      <c r="J67" s="310">
        <v>0</v>
      </c>
      <c r="K67" s="310">
        <v>8.8000000000000007</v>
      </c>
      <c r="L67" s="310">
        <v>0</v>
      </c>
      <c r="M67" s="310">
        <v>0</v>
      </c>
      <c r="N67" s="308">
        <v>0</v>
      </c>
      <c r="O67" s="307">
        <f t="shared" si="2"/>
        <v>8.8000000000000007</v>
      </c>
      <c r="P67" s="158">
        <f t="shared" si="0"/>
        <v>1</v>
      </c>
      <c r="Q67" s="355">
        <f t="shared" si="1"/>
        <v>84.717600000000019</v>
      </c>
      <c r="R67" s="335"/>
      <c r="S67" s="317">
        <f t="shared" si="3"/>
        <v>0</v>
      </c>
    </row>
    <row r="68" spans="2:19" s="336" customFormat="1" ht="21.75" customHeight="1">
      <c r="B68" s="65">
        <v>63</v>
      </c>
      <c r="C68" s="345" t="s">
        <v>213</v>
      </c>
      <c r="D68" s="344" t="s">
        <v>214</v>
      </c>
      <c r="E68" s="66" t="s">
        <v>273</v>
      </c>
      <c r="F68" s="278">
        <v>1.1000000000000001</v>
      </c>
      <c r="G68" s="458">
        <v>14.464</v>
      </c>
      <c r="H68" s="289">
        <f t="shared" si="4"/>
        <v>15.910400000000001</v>
      </c>
      <c r="I68" s="335"/>
      <c r="J68" s="310">
        <v>0</v>
      </c>
      <c r="K68" s="310">
        <v>1.1000000000000001</v>
      </c>
      <c r="L68" s="310">
        <v>0</v>
      </c>
      <c r="M68" s="310">
        <v>0</v>
      </c>
      <c r="N68" s="308">
        <v>0</v>
      </c>
      <c r="O68" s="307">
        <f t="shared" si="2"/>
        <v>1.1000000000000001</v>
      </c>
      <c r="P68" s="158">
        <f t="shared" si="0"/>
        <v>1</v>
      </c>
      <c r="Q68" s="355">
        <f t="shared" si="1"/>
        <v>15.910400000000001</v>
      </c>
      <c r="R68" s="335"/>
      <c r="S68" s="317">
        <f t="shared" si="3"/>
        <v>0</v>
      </c>
    </row>
    <row r="69" spans="2:19" s="336" customFormat="1" ht="21.75" customHeight="1">
      <c r="B69" s="65">
        <v>64</v>
      </c>
      <c r="C69" s="345" t="s">
        <v>215</v>
      </c>
      <c r="D69" s="344" t="s">
        <v>216</v>
      </c>
      <c r="E69" s="66" t="s">
        <v>273</v>
      </c>
      <c r="F69" s="278">
        <v>2.2000000000000002</v>
      </c>
      <c r="G69" s="458">
        <v>12.023999999999999</v>
      </c>
      <c r="H69" s="289">
        <f t="shared" si="4"/>
        <v>26.4528</v>
      </c>
      <c r="I69" s="335"/>
      <c r="J69" s="310">
        <v>0</v>
      </c>
      <c r="K69" s="310">
        <v>2.2000000000000002</v>
      </c>
      <c r="L69" s="310">
        <v>0</v>
      </c>
      <c r="M69" s="310">
        <v>0</v>
      </c>
      <c r="N69" s="308">
        <v>0</v>
      </c>
      <c r="O69" s="307">
        <f t="shared" si="2"/>
        <v>2.2000000000000002</v>
      </c>
      <c r="P69" s="158">
        <f t="shared" si="0"/>
        <v>1</v>
      </c>
      <c r="Q69" s="355">
        <f t="shared" si="1"/>
        <v>26.4528</v>
      </c>
      <c r="R69" s="335"/>
      <c r="S69" s="317">
        <f t="shared" si="3"/>
        <v>0</v>
      </c>
    </row>
    <row r="70" spans="2:19" s="336" customFormat="1" ht="21.75" customHeight="1">
      <c r="B70" s="65">
        <v>65</v>
      </c>
      <c r="C70" s="345" t="s">
        <v>217</v>
      </c>
      <c r="D70" s="344" t="s">
        <v>218</v>
      </c>
      <c r="E70" s="66" t="s">
        <v>273</v>
      </c>
      <c r="F70" s="278">
        <v>908.6</v>
      </c>
      <c r="G70" s="458">
        <v>11.092000000000001</v>
      </c>
      <c r="H70" s="289">
        <f t="shared" si="4"/>
        <v>10078.191200000001</v>
      </c>
      <c r="I70" s="335"/>
      <c r="J70" s="310">
        <v>0</v>
      </c>
      <c r="K70" s="310">
        <v>908.6</v>
      </c>
      <c r="L70" s="310">
        <v>0</v>
      </c>
      <c r="M70" s="310">
        <v>0</v>
      </c>
      <c r="N70" s="308">
        <v>0</v>
      </c>
      <c r="O70" s="307">
        <f t="shared" si="2"/>
        <v>908.6</v>
      </c>
      <c r="P70" s="158">
        <f t="shared" ref="P70:P90" si="5">O70/F70</f>
        <v>1</v>
      </c>
      <c r="Q70" s="355">
        <f t="shared" ref="Q70:Q90" si="6">O70*G70</f>
        <v>10078.191200000001</v>
      </c>
      <c r="R70" s="335"/>
      <c r="S70" s="317">
        <f t="shared" si="3"/>
        <v>0</v>
      </c>
    </row>
    <row r="71" spans="2:19" s="336" customFormat="1" ht="21.75" customHeight="1">
      <c r="B71" s="65">
        <v>66</v>
      </c>
      <c r="C71" s="345" t="s">
        <v>219</v>
      </c>
      <c r="D71" s="344" t="s">
        <v>220</v>
      </c>
      <c r="E71" s="66" t="s">
        <v>273</v>
      </c>
      <c r="F71" s="278">
        <v>193.6</v>
      </c>
      <c r="G71" s="458">
        <v>14.625999999999999</v>
      </c>
      <c r="H71" s="289">
        <f t="shared" si="4"/>
        <v>2831.5935999999997</v>
      </c>
      <c r="I71" s="335"/>
      <c r="J71" s="310">
        <v>0</v>
      </c>
      <c r="K71" s="310">
        <v>193.6</v>
      </c>
      <c r="L71" s="310">
        <v>0</v>
      </c>
      <c r="M71" s="310">
        <v>0</v>
      </c>
      <c r="N71" s="308">
        <v>0</v>
      </c>
      <c r="O71" s="307">
        <f t="shared" ref="O71:O90" si="7">SUM(J71:N71)</f>
        <v>193.6</v>
      </c>
      <c r="P71" s="158">
        <f t="shared" si="5"/>
        <v>1</v>
      </c>
      <c r="Q71" s="355">
        <f t="shared" si="6"/>
        <v>2831.5935999999997</v>
      </c>
      <c r="R71" s="335"/>
      <c r="S71" s="317">
        <f t="shared" ref="S71:S90" si="8">(F71-O71)*G71</f>
        <v>0</v>
      </c>
    </row>
    <row r="72" spans="2:19" s="336" customFormat="1" ht="21.75" customHeight="1">
      <c r="B72" s="65">
        <v>67</v>
      </c>
      <c r="C72" s="345" t="s">
        <v>221</v>
      </c>
      <c r="D72" s="344" t="s">
        <v>222</v>
      </c>
      <c r="E72" s="66" t="s">
        <v>273</v>
      </c>
      <c r="F72" s="278">
        <v>85.8</v>
      </c>
      <c r="G72" s="458">
        <v>21.123000000000001</v>
      </c>
      <c r="H72" s="289">
        <f t="shared" ref="H72:H90" si="9">F72*G72</f>
        <v>1812.3534</v>
      </c>
      <c r="I72" s="335"/>
      <c r="J72" s="310">
        <v>0</v>
      </c>
      <c r="K72" s="310">
        <v>85.8</v>
      </c>
      <c r="L72" s="310">
        <v>0</v>
      </c>
      <c r="M72" s="310">
        <v>0</v>
      </c>
      <c r="N72" s="308">
        <v>0</v>
      </c>
      <c r="O72" s="307">
        <f t="shared" si="7"/>
        <v>85.8</v>
      </c>
      <c r="P72" s="158">
        <f t="shared" si="5"/>
        <v>1</v>
      </c>
      <c r="Q72" s="355">
        <f t="shared" si="6"/>
        <v>1812.3534</v>
      </c>
      <c r="R72" s="335"/>
      <c r="S72" s="317">
        <f t="shared" si="8"/>
        <v>0</v>
      </c>
    </row>
    <row r="73" spans="2:19" s="336" customFormat="1" ht="21.75" customHeight="1">
      <c r="B73" s="65">
        <v>68</v>
      </c>
      <c r="C73" s="345" t="s">
        <v>223</v>
      </c>
      <c r="D73" s="344" t="s">
        <v>224</v>
      </c>
      <c r="E73" s="66" t="s">
        <v>273</v>
      </c>
      <c r="F73" s="278">
        <v>34.1</v>
      </c>
      <c r="G73" s="458">
        <v>25.184000000000001</v>
      </c>
      <c r="H73" s="289">
        <f t="shared" si="9"/>
        <v>858.77440000000013</v>
      </c>
      <c r="I73" s="335"/>
      <c r="J73" s="310">
        <v>0</v>
      </c>
      <c r="K73" s="310">
        <v>34.1</v>
      </c>
      <c r="L73" s="310">
        <v>0</v>
      </c>
      <c r="M73" s="310">
        <v>0</v>
      </c>
      <c r="N73" s="308">
        <v>0</v>
      </c>
      <c r="O73" s="307">
        <f t="shared" si="7"/>
        <v>34.1</v>
      </c>
      <c r="P73" s="158">
        <f t="shared" si="5"/>
        <v>1</v>
      </c>
      <c r="Q73" s="355">
        <f t="shared" si="6"/>
        <v>858.77440000000013</v>
      </c>
      <c r="R73" s="335"/>
      <c r="S73" s="317">
        <f t="shared" si="8"/>
        <v>0</v>
      </c>
    </row>
    <row r="74" spans="2:19" s="336" customFormat="1" ht="21.75" customHeight="1">
      <c r="B74" s="65">
        <v>69</v>
      </c>
      <c r="C74" s="345" t="s">
        <v>225</v>
      </c>
      <c r="D74" s="344" t="s">
        <v>226</v>
      </c>
      <c r="E74" s="66" t="s">
        <v>273</v>
      </c>
      <c r="F74" s="278">
        <v>38.5</v>
      </c>
      <c r="G74" s="458">
        <v>33.512999999999998</v>
      </c>
      <c r="H74" s="289">
        <f t="shared" si="9"/>
        <v>1290.2504999999999</v>
      </c>
      <c r="I74" s="335"/>
      <c r="J74" s="310">
        <v>0</v>
      </c>
      <c r="K74" s="310">
        <f>38.58-0.08</f>
        <v>38.5</v>
      </c>
      <c r="L74" s="310">
        <v>0</v>
      </c>
      <c r="M74" s="310">
        <v>0</v>
      </c>
      <c r="N74" s="308">
        <v>0</v>
      </c>
      <c r="O74" s="307">
        <f t="shared" si="7"/>
        <v>38.5</v>
      </c>
      <c r="P74" s="158">
        <f t="shared" si="5"/>
        <v>1</v>
      </c>
      <c r="Q74" s="355">
        <f t="shared" si="6"/>
        <v>1290.2504999999999</v>
      </c>
      <c r="R74" s="335"/>
      <c r="S74" s="317">
        <f t="shared" si="8"/>
        <v>0</v>
      </c>
    </row>
    <row r="75" spans="2:19" s="336" customFormat="1" ht="21.75" customHeight="1">
      <c r="B75" s="65">
        <v>70</v>
      </c>
      <c r="C75" s="345" t="s">
        <v>291</v>
      </c>
      <c r="D75" s="344" t="s">
        <v>228</v>
      </c>
      <c r="E75" s="66" t="s">
        <v>273</v>
      </c>
      <c r="F75" s="278">
        <v>125.4</v>
      </c>
      <c r="G75" s="458">
        <v>56.052</v>
      </c>
      <c r="H75" s="289">
        <f t="shared" si="9"/>
        <v>7028.9207999999999</v>
      </c>
      <c r="I75" s="335"/>
      <c r="J75" s="310">
        <v>0</v>
      </c>
      <c r="K75" s="310">
        <v>125.4</v>
      </c>
      <c r="L75" s="310">
        <v>0</v>
      </c>
      <c r="M75" s="310">
        <v>0</v>
      </c>
      <c r="N75" s="308">
        <v>0</v>
      </c>
      <c r="O75" s="307">
        <f t="shared" si="7"/>
        <v>125.4</v>
      </c>
      <c r="P75" s="158">
        <f t="shared" si="5"/>
        <v>1</v>
      </c>
      <c r="Q75" s="355">
        <f t="shared" si="6"/>
        <v>7028.9207999999999</v>
      </c>
      <c r="R75" s="335"/>
      <c r="S75" s="317">
        <f t="shared" si="8"/>
        <v>0</v>
      </c>
    </row>
    <row r="76" spans="2:19" s="336" customFormat="1" ht="21.75" customHeight="1">
      <c r="B76" s="65">
        <v>71</v>
      </c>
      <c r="C76" s="345" t="s">
        <v>229</v>
      </c>
      <c r="D76" s="346" t="s">
        <v>230</v>
      </c>
      <c r="E76" s="66" t="s">
        <v>273</v>
      </c>
      <c r="F76" s="278">
        <v>39.6</v>
      </c>
      <c r="G76" s="458">
        <v>44.68</v>
      </c>
      <c r="H76" s="289">
        <f t="shared" si="9"/>
        <v>1769.328</v>
      </c>
      <c r="I76" s="335"/>
      <c r="J76" s="310">
        <v>0</v>
      </c>
      <c r="K76" s="310">
        <v>39.6</v>
      </c>
      <c r="L76" s="310">
        <v>0</v>
      </c>
      <c r="M76" s="310">
        <v>0</v>
      </c>
      <c r="N76" s="308">
        <v>0</v>
      </c>
      <c r="O76" s="307">
        <f t="shared" si="7"/>
        <v>39.6</v>
      </c>
      <c r="P76" s="158">
        <f t="shared" si="5"/>
        <v>1</v>
      </c>
      <c r="Q76" s="355">
        <f t="shared" si="6"/>
        <v>1769.328</v>
      </c>
      <c r="R76" s="335"/>
      <c r="S76" s="317">
        <f t="shared" si="8"/>
        <v>0</v>
      </c>
    </row>
    <row r="77" spans="2:19" s="336" customFormat="1" ht="21.75" customHeight="1">
      <c r="B77" s="65">
        <v>72</v>
      </c>
      <c r="C77" s="345" t="s">
        <v>91</v>
      </c>
      <c r="D77" s="346" t="s">
        <v>233</v>
      </c>
      <c r="E77" s="66" t="s">
        <v>273</v>
      </c>
      <c r="F77" s="278">
        <v>43500</v>
      </c>
      <c r="G77" s="458">
        <v>0.61</v>
      </c>
      <c r="H77" s="289">
        <f t="shared" si="9"/>
        <v>26535</v>
      </c>
      <c r="I77" s="335"/>
      <c r="J77" s="310">
        <v>43500</v>
      </c>
      <c r="K77" s="308">
        <v>0</v>
      </c>
      <c r="L77" s="308">
        <v>0</v>
      </c>
      <c r="M77" s="308">
        <v>0</v>
      </c>
      <c r="N77" s="308">
        <v>0</v>
      </c>
      <c r="O77" s="307">
        <f t="shared" si="7"/>
        <v>43500</v>
      </c>
      <c r="P77" s="158">
        <f t="shared" si="5"/>
        <v>1</v>
      </c>
      <c r="Q77" s="355">
        <f t="shared" si="6"/>
        <v>26535</v>
      </c>
      <c r="R77" s="335"/>
      <c r="S77" s="317">
        <f t="shared" si="8"/>
        <v>0</v>
      </c>
    </row>
    <row r="78" spans="2:19" s="336" customFormat="1" ht="21.75" customHeight="1">
      <c r="B78" s="65">
        <v>73</v>
      </c>
      <c r="C78" s="345" t="s">
        <v>91</v>
      </c>
      <c r="D78" s="346" t="s">
        <v>234</v>
      </c>
      <c r="E78" s="66" t="s">
        <v>273</v>
      </c>
      <c r="F78" s="278">
        <v>13000</v>
      </c>
      <c r="G78" s="458">
        <v>1</v>
      </c>
      <c r="H78" s="289">
        <f t="shared" si="9"/>
        <v>13000</v>
      </c>
      <c r="I78" s="335"/>
      <c r="J78" s="310">
        <v>13000</v>
      </c>
      <c r="K78" s="308">
        <v>0</v>
      </c>
      <c r="L78" s="308">
        <v>0</v>
      </c>
      <c r="M78" s="308">
        <v>0</v>
      </c>
      <c r="N78" s="308">
        <v>0</v>
      </c>
      <c r="O78" s="307">
        <f t="shared" si="7"/>
        <v>13000</v>
      </c>
      <c r="P78" s="158">
        <f t="shared" si="5"/>
        <v>1</v>
      </c>
      <c r="Q78" s="355">
        <f t="shared" si="6"/>
        <v>13000</v>
      </c>
      <c r="R78" s="335"/>
      <c r="S78" s="317">
        <f t="shared" si="8"/>
        <v>0</v>
      </c>
    </row>
    <row r="79" spans="2:19" s="336" customFormat="1" ht="21.75" customHeight="1">
      <c r="B79" s="65">
        <v>74</v>
      </c>
      <c r="C79" s="345" t="s">
        <v>91</v>
      </c>
      <c r="D79" s="346" t="s">
        <v>245</v>
      </c>
      <c r="E79" s="100" t="s">
        <v>264</v>
      </c>
      <c r="F79" s="278">
        <v>72000</v>
      </c>
      <c r="G79" s="458">
        <v>0.08</v>
      </c>
      <c r="H79" s="289">
        <f t="shared" si="9"/>
        <v>5760</v>
      </c>
      <c r="I79" s="335"/>
      <c r="J79" s="310">
        <v>72000</v>
      </c>
      <c r="K79" s="308">
        <v>0</v>
      </c>
      <c r="L79" s="308">
        <v>0</v>
      </c>
      <c r="M79" s="308">
        <v>0</v>
      </c>
      <c r="N79" s="308">
        <v>0</v>
      </c>
      <c r="O79" s="307">
        <f t="shared" si="7"/>
        <v>72000</v>
      </c>
      <c r="P79" s="158">
        <f t="shared" si="5"/>
        <v>1</v>
      </c>
      <c r="Q79" s="355">
        <f t="shared" si="6"/>
        <v>5760</v>
      </c>
      <c r="R79" s="335"/>
      <c r="S79" s="317">
        <f t="shared" si="8"/>
        <v>0</v>
      </c>
    </row>
    <row r="80" spans="2:19" s="336" customFormat="1" ht="21.75" customHeight="1">
      <c r="B80" s="65">
        <v>75</v>
      </c>
      <c r="C80" s="345" t="s">
        <v>91</v>
      </c>
      <c r="D80" s="346" t="s">
        <v>246</v>
      </c>
      <c r="E80" s="100" t="s">
        <v>264</v>
      </c>
      <c r="F80" s="278">
        <v>3500</v>
      </c>
      <c r="G80" s="458">
        <v>0.08</v>
      </c>
      <c r="H80" s="289">
        <f t="shared" si="9"/>
        <v>280</v>
      </c>
      <c r="I80" s="335"/>
      <c r="J80" s="310">
        <v>3500</v>
      </c>
      <c r="K80" s="308">
        <v>0</v>
      </c>
      <c r="L80" s="308">
        <v>0</v>
      </c>
      <c r="M80" s="308">
        <v>0</v>
      </c>
      <c r="N80" s="308">
        <v>0</v>
      </c>
      <c r="O80" s="307">
        <f t="shared" si="7"/>
        <v>3500</v>
      </c>
      <c r="P80" s="158">
        <f t="shared" si="5"/>
        <v>1</v>
      </c>
      <c r="Q80" s="355">
        <f t="shared" si="6"/>
        <v>280</v>
      </c>
      <c r="R80" s="335"/>
      <c r="S80" s="317">
        <f t="shared" si="8"/>
        <v>0</v>
      </c>
    </row>
    <row r="81" spans="2:19" s="336" customFormat="1" ht="21.75" customHeight="1">
      <c r="B81" s="65">
        <v>76</v>
      </c>
      <c r="C81" s="345" t="s">
        <v>91</v>
      </c>
      <c r="D81" s="346" t="s">
        <v>235</v>
      </c>
      <c r="E81" s="100" t="s">
        <v>264</v>
      </c>
      <c r="F81" s="278">
        <v>120000</v>
      </c>
      <c r="G81" s="458">
        <v>6.6000000000000003E-2</v>
      </c>
      <c r="H81" s="289">
        <f t="shared" si="9"/>
        <v>7920</v>
      </c>
      <c r="I81" s="335"/>
      <c r="J81" s="310">
        <v>120000</v>
      </c>
      <c r="K81" s="308">
        <v>0</v>
      </c>
      <c r="L81" s="308">
        <v>0</v>
      </c>
      <c r="M81" s="308">
        <v>0</v>
      </c>
      <c r="N81" s="308">
        <v>0</v>
      </c>
      <c r="O81" s="307">
        <f t="shared" si="7"/>
        <v>120000</v>
      </c>
      <c r="P81" s="158">
        <f t="shared" si="5"/>
        <v>1</v>
      </c>
      <c r="Q81" s="355">
        <f t="shared" si="6"/>
        <v>7920</v>
      </c>
      <c r="R81" s="335"/>
      <c r="S81" s="317">
        <f t="shared" si="8"/>
        <v>0</v>
      </c>
    </row>
    <row r="82" spans="2:19" s="336" customFormat="1" ht="21.75" customHeight="1">
      <c r="B82" s="65">
        <v>77</v>
      </c>
      <c r="C82" s="345" t="s">
        <v>91</v>
      </c>
      <c r="D82" s="346" t="s">
        <v>236</v>
      </c>
      <c r="E82" s="100" t="s">
        <v>264</v>
      </c>
      <c r="F82" s="278">
        <v>80000</v>
      </c>
      <c r="G82" s="458">
        <v>5.7000000000000002E-2</v>
      </c>
      <c r="H82" s="289">
        <f t="shared" si="9"/>
        <v>4560</v>
      </c>
      <c r="I82" s="335"/>
      <c r="J82" s="310">
        <v>80000</v>
      </c>
      <c r="K82" s="308">
        <v>0</v>
      </c>
      <c r="L82" s="308">
        <v>0</v>
      </c>
      <c r="M82" s="308">
        <v>0</v>
      </c>
      <c r="N82" s="308">
        <v>0</v>
      </c>
      <c r="O82" s="307">
        <f t="shared" si="7"/>
        <v>80000</v>
      </c>
      <c r="P82" s="158">
        <f t="shared" si="5"/>
        <v>1</v>
      </c>
      <c r="Q82" s="355">
        <f t="shared" si="6"/>
        <v>4560</v>
      </c>
      <c r="R82" s="335"/>
      <c r="S82" s="317">
        <f t="shared" si="8"/>
        <v>0</v>
      </c>
    </row>
    <row r="83" spans="2:19" s="336" customFormat="1" ht="21.75" customHeight="1">
      <c r="B83" s="65">
        <v>78</v>
      </c>
      <c r="C83" s="345" t="s">
        <v>91</v>
      </c>
      <c r="D83" s="346" t="s">
        <v>237</v>
      </c>
      <c r="E83" s="100" t="s">
        <v>264</v>
      </c>
      <c r="F83" s="278">
        <v>120000</v>
      </c>
      <c r="G83" s="458">
        <v>3.5999999999999997E-2</v>
      </c>
      <c r="H83" s="289">
        <f t="shared" si="9"/>
        <v>4320</v>
      </c>
      <c r="I83" s="335"/>
      <c r="J83" s="310">
        <v>53100</v>
      </c>
      <c r="K83" s="308">
        <v>0</v>
      </c>
      <c r="L83" s="308">
        <v>66900</v>
      </c>
      <c r="M83" s="308">
        <v>0</v>
      </c>
      <c r="N83" s="308">
        <v>0</v>
      </c>
      <c r="O83" s="307">
        <f t="shared" si="7"/>
        <v>120000</v>
      </c>
      <c r="P83" s="158">
        <f t="shared" si="5"/>
        <v>1</v>
      </c>
      <c r="Q83" s="355">
        <f t="shared" si="6"/>
        <v>4320</v>
      </c>
      <c r="R83" s="335"/>
      <c r="S83" s="317">
        <f t="shared" si="8"/>
        <v>0</v>
      </c>
    </row>
    <row r="84" spans="2:19" s="336" customFormat="1" ht="21.75" customHeight="1">
      <c r="B84" s="65">
        <v>79</v>
      </c>
      <c r="C84" s="345" t="s">
        <v>91</v>
      </c>
      <c r="D84" s="346" t="s">
        <v>238</v>
      </c>
      <c r="E84" s="100" t="s">
        <v>264</v>
      </c>
      <c r="F84" s="279">
        <v>3090</v>
      </c>
      <c r="G84" s="458">
        <v>6.6</v>
      </c>
      <c r="H84" s="289">
        <f t="shared" si="9"/>
        <v>20394</v>
      </c>
      <c r="I84" s="335"/>
      <c r="J84" s="310">
        <v>0</v>
      </c>
      <c r="K84" s="308">
        <v>0</v>
      </c>
      <c r="L84" s="308">
        <v>3090</v>
      </c>
      <c r="M84" s="308">
        <v>750</v>
      </c>
      <c r="N84" s="308">
        <v>0</v>
      </c>
      <c r="O84" s="307">
        <f t="shared" si="7"/>
        <v>3840</v>
      </c>
      <c r="P84" s="271">
        <f t="shared" si="5"/>
        <v>1.2427184466019416</v>
      </c>
      <c r="Q84" s="356">
        <f t="shared" si="6"/>
        <v>25344</v>
      </c>
      <c r="R84" s="335"/>
      <c r="S84" s="320">
        <f t="shared" si="8"/>
        <v>-4950</v>
      </c>
    </row>
    <row r="85" spans="2:19" s="336" customFormat="1" ht="21.75" customHeight="1">
      <c r="B85" s="65">
        <v>80</v>
      </c>
      <c r="C85" s="345" t="s">
        <v>91</v>
      </c>
      <c r="D85" s="346" t="s">
        <v>239</v>
      </c>
      <c r="E85" s="100" t="s">
        <v>264</v>
      </c>
      <c r="F85" s="278">
        <v>3200</v>
      </c>
      <c r="G85" s="458">
        <v>0.09</v>
      </c>
      <c r="H85" s="289">
        <f t="shared" si="9"/>
        <v>288</v>
      </c>
      <c r="I85" s="335"/>
      <c r="J85" s="310">
        <v>3200</v>
      </c>
      <c r="K85" s="308">
        <v>0</v>
      </c>
      <c r="L85" s="308">
        <v>0</v>
      </c>
      <c r="M85" s="308">
        <v>0</v>
      </c>
      <c r="N85" s="308">
        <v>0</v>
      </c>
      <c r="O85" s="307">
        <f t="shared" si="7"/>
        <v>3200</v>
      </c>
      <c r="P85" s="158">
        <f t="shared" si="5"/>
        <v>1</v>
      </c>
      <c r="Q85" s="355">
        <f t="shared" si="6"/>
        <v>288</v>
      </c>
      <c r="R85" s="335"/>
      <c r="S85" s="317">
        <f t="shared" si="8"/>
        <v>0</v>
      </c>
    </row>
    <row r="86" spans="2:19" s="336" customFormat="1" ht="21.75" customHeight="1">
      <c r="B86" s="65">
        <v>81</v>
      </c>
      <c r="C86" s="345" t="s">
        <v>91</v>
      </c>
      <c r="D86" s="346" t="s">
        <v>240</v>
      </c>
      <c r="E86" s="66" t="s">
        <v>273</v>
      </c>
      <c r="F86" s="278">
        <v>106000</v>
      </c>
      <c r="G86" s="458">
        <v>0.21</v>
      </c>
      <c r="H86" s="289">
        <f t="shared" si="9"/>
        <v>22260</v>
      </c>
      <c r="I86" s="335"/>
      <c r="J86" s="310">
        <v>106000</v>
      </c>
      <c r="K86" s="308">
        <v>0</v>
      </c>
      <c r="L86" s="308">
        <v>0</v>
      </c>
      <c r="M86" s="308">
        <v>0</v>
      </c>
      <c r="N86" s="308">
        <v>0</v>
      </c>
      <c r="O86" s="307">
        <f t="shared" si="7"/>
        <v>106000</v>
      </c>
      <c r="P86" s="158">
        <f t="shared" si="5"/>
        <v>1</v>
      </c>
      <c r="Q86" s="355">
        <f t="shared" si="6"/>
        <v>22260</v>
      </c>
      <c r="R86" s="335"/>
      <c r="S86" s="317">
        <f t="shared" si="8"/>
        <v>0</v>
      </c>
    </row>
    <row r="87" spans="2:19" s="336" customFormat="1" ht="21.75" customHeight="1">
      <c r="B87" s="65">
        <v>82</v>
      </c>
      <c r="C87" s="345" t="s">
        <v>91</v>
      </c>
      <c r="D87" s="346" t="s">
        <v>241</v>
      </c>
      <c r="E87" s="100" t="s">
        <v>276</v>
      </c>
      <c r="F87" s="278">
        <v>75</v>
      </c>
      <c r="G87" s="458">
        <v>15.95</v>
      </c>
      <c r="H87" s="289">
        <f t="shared" si="9"/>
        <v>1196.25</v>
      </c>
      <c r="I87" s="335"/>
      <c r="J87" s="310">
        <v>75</v>
      </c>
      <c r="K87" s="308">
        <v>0</v>
      </c>
      <c r="L87" s="308">
        <v>0</v>
      </c>
      <c r="M87" s="308">
        <v>0</v>
      </c>
      <c r="N87" s="308">
        <v>0</v>
      </c>
      <c r="O87" s="307">
        <f t="shared" si="7"/>
        <v>75</v>
      </c>
      <c r="P87" s="158">
        <f t="shared" si="5"/>
        <v>1</v>
      </c>
      <c r="Q87" s="355">
        <f t="shared" si="6"/>
        <v>1196.25</v>
      </c>
      <c r="R87" s="335"/>
      <c r="S87" s="317">
        <f t="shared" si="8"/>
        <v>0</v>
      </c>
    </row>
    <row r="88" spans="2:19" s="336" customFormat="1" ht="21.75" customHeight="1">
      <c r="B88" s="65">
        <v>83</v>
      </c>
      <c r="C88" s="345" t="s">
        <v>91</v>
      </c>
      <c r="D88" s="346" t="s">
        <v>104</v>
      </c>
      <c r="E88" s="100" t="s">
        <v>275</v>
      </c>
      <c r="F88" s="278">
        <v>2075</v>
      </c>
      <c r="G88" s="458">
        <v>2.65</v>
      </c>
      <c r="H88" s="289">
        <f t="shared" si="9"/>
        <v>5498.75</v>
      </c>
      <c r="I88" s="335"/>
      <c r="J88" s="310">
        <v>2075</v>
      </c>
      <c r="K88" s="308">
        <v>0</v>
      </c>
      <c r="L88" s="308">
        <v>0</v>
      </c>
      <c r="M88" s="308">
        <v>0</v>
      </c>
      <c r="N88" s="308">
        <v>0</v>
      </c>
      <c r="O88" s="307">
        <f t="shared" si="7"/>
        <v>2075</v>
      </c>
      <c r="P88" s="158">
        <f t="shared" si="5"/>
        <v>1</v>
      </c>
      <c r="Q88" s="355">
        <f t="shared" si="6"/>
        <v>5498.75</v>
      </c>
      <c r="R88" s="335"/>
      <c r="S88" s="317">
        <f t="shared" si="8"/>
        <v>0</v>
      </c>
    </row>
    <row r="89" spans="2:19" s="336" customFormat="1" ht="21.75" customHeight="1">
      <c r="B89" s="65">
        <v>84</v>
      </c>
      <c r="C89" s="345" t="s">
        <v>91</v>
      </c>
      <c r="D89" s="346" t="s">
        <v>106</v>
      </c>
      <c r="E89" s="100" t="s">
        <v>275</v>
      </c>
      <c r="F89" s="278">
        <v>550</v>
      </c>
      <c r="G89" s="458">
        <v>3</v>
      </c>
      <c r="H89" s="289">
        <f t="shared" si="9"/>
        <v>1650</v>
      </c>
      <c r="I89" s="335"/>
      <c r="J89" s="310">
        <v>550</v>
      </c>
      <c r="K89" s="308">
        <v>0</v>
      </c>
      <c r="L89" s="308">
        <v>0</v>
      </c>
      <c r="M89" s="308">
        <v>0</v>
      </c>
      <c r="N89" s="308">
        <v>0</v>
      </c>
      <c r="O89" s="307">
        <f t="shared" si="7"/>
        <v>550</v>
      </c>
      <c r="P89" s="158">
        <f t="shared" si="5"/>
        <v>1</v>
      </c>
      <c r="Q89" s="355">
        <f t="shared" si="6"/>
        <v>1650</v>
      </c>
      <c r="R89" s="335"/>
      <c r="S89" s="317">
        <f t="shared" si="8"/>
        <v>0</v>
      </c>
    </row>
    <row r="90" spans="2:19" s="336" customFormat="1" ht="21.75" customHeight="1">
      <c r="B90" s="69">
        <v>85</v>
      </c>
      <c r="C90" s="347" t="s">
        <v>91</v>
      </c>
      <c r="D90" s="348" t="s">
        <v>107</v>
      </c>
      <c r="E90" s="70" t="s">
        <v>275</v>
      </c>
      <c r="F90" s="280">
        <v>750</v>
      </c>
      <c r="G90" s="459">
        <v>1.3</v>
      </c>
      <c r="H90" s="290">
        <f t="shared" si="9"/>
        <v>975</v>
      </c>
      <c r="I90" s="335"/>
      <c r="J90" s="311">
        <v>750</v>
      </c>
      <c r="K90" s="311">
        <v>0</v>
      </c>
      <c r="L90" s="311">
        <v>0</v>
      </c>
      <c r="M90" s="311">
        <v>0</v>
      </c>
      <c r="N90" s="311">
        <v>0</v>
      </c>
      <c r="O90" s="349">
        <f t="shared" si="7"/>
        <v>750</v>
      </c>
      <c r="P90" s="159">
        <f t="shared" si="5"/>
        <v>1</v>
      </c>
      <c r="Q90" s="358">
        <f t="shared" si="6"/>
        <v>975</v>
      </c>
      <c r="R90" s="335"/>
      <c r="S90" s="318">
        <f t="shared" si="8"/>
        <v>0</v>
      </c>
    </row>
    <row r="91" spans="2:19" ht="5.0999999999999996" customHeight="1">
      <c r="D91" s="73"/>
      <c r="E91" s="73"/>
      <c r="F91" s="73"/>
      <c r="G91" s="460"/>
      <c r="H91" s="186"/>
      <c r="I91" s="76"/>
      <c r="J91" s="77"/>
      <c r="K91" s="77"/>
      <c r="L91" s="77"/>
      <c r="M91" s="77"/>
      <c r="N91" s="77"/>
      <c r="O91" s="77"/>
      <c r="P91" s="77"/>
      <c r="Q91" s="359"/>
      <c r="R91" s="76"/>
      <c r="S91" s="319"/>
    </row>
    <row r="92" spans="2:19" s="79" customFormat="1" ht="24" thickBot="1">
      <c r="D92" s="80"/>
      <c r="E92" s="80"/>
      <c r="F92" s="266">
        <f>SUM(F6:F91)</f>
        <v>606812.96</v>
      </c>
      <c r="G92" s="461"/>
      <c r="H92" s="119">
        <f>SUBTOTAL(9,H6:H90)</f>
        <v>529403.56890000007</v>
      </c>
      <c r="I92" s="82"/>
      <c r="J92" s="83">
        <f>SUM(J6:J91)</f>
        <v>517019</v>
      </c>
      <c r="K92" s="83">
        <f>SUM(K6:K91)</f>
        <v>8042.9600000000009</v>
      </c>
      <c r="L92" s="83">
        <f>SUM(L6:L91)</f>
        <v>75058</v>
      </c>
      <c r="M92" s="83">
        <f>SUM(M6:M91)</f>
        <v>8931.1</v>
      </c>
      <c r="N92" s="83">
        <f>SUM(N6:N91)</f>
        <v>4720</v>
      </c>
      <c r="O92" s="83"/>
      <c r="P92" s="83"/>
      <c r="Q92" s="360">
        <f>SUM(Q6:Q91)</f>
        <v>579834.45140000014</v>
      </c>
      <c r="R92" s="82"/>
      <c r="S92" s="292">
        <f>SUM(S6:S91)</f>
        <v>-50430.8825</v>
      </c>
    </row>
    <row r="93" spans="2:19" ht="20.100000000000001" customHeight="1" thickTop="1">
      <c r="D93" s="73"/>
      <c r="E93" s="73"/>
      <c r="F93" s="84"/>
      <c r="G93" s="462"/>
      <c r="H93" s="187"/>
      <c r="I93" s="73"/>
      <c r="J93" s="73"/>
      <c r="K93" s="73"/>
      <c r="L93" s="73"/>
      <c r="M93" s="73"/>
      <c r="N93" s="73"/>
      <c r="O93" s="73"/>
      <c r="P93" s="73"/>
      <c r="Q93" s="361"/>
      <c r="R93" s="73"/>
      <c r="S93" s="281"/>
    </row>
    <row r="94" spans="2:19" ht="33.75">
      <c r="B94" s="48" t="s">
        <v>266</v>
      </c>
      <c r="C94" s="48"/>
      <c r="D94" s="86"/>
      <c r="E94" s="48"/>
      <c r="F94" s="86"/>
      <c r="G94" s="463"/>
      <c r="H94" s="162" t="s">
        <v>267</v>
      </c>
      <c r="I94" s="88"/>
      <c r="J94" s="48" t="s">
        <v>268</v>
      </c>
      <c r="K94" s="48"/>
      <c r="L94" s="48"/>
      <c r="M94" s="48"/>
      <c r="N94" s="48"/>
      <c r="O94" s="48"/>
      <c r="P94" s="48"/>
      <c r="Q94" s="362"/>
      <c r="R94" s="88"/>
      <c r="S94" s="284"/>
    </row>
    <row r="95" spans="2:19" ht="6" customHeight="1">
      <c r="G95" s="464"/>
      <c r="H95" s="188"/>
      <c r="I95" s="88"/>
      <c r="R95" s="88"/>
    </row>
    <row r="96" spans="2:19" s="89" customFormat="1" ht="20.25" customHeight="1">
      <c r="B96" s="89" t="s">
        <v>280</v>
      </c>
      <c r="G96" s="465"/>
      <c r="H96" s="296">
        <f>Q92</f>
        <v>579834.45140000014</v>
      </c>
      <c r="I96" s="90"/>
      <c r="J96" s="448" t="s">
        <v>497</v>
      </c>
      <c r="K96" s="448"/>
      <c r="L96" s="448"/>
      <c r="M96" s="448"/>
      <c r="N96" s="448"/>
      <c r="O96" s="448"/>
      <c r="P96" s="448"/>
      <c r="Q96" s="448"/>
      <c r="R96" s="90"/>
      <c r="S96" s="285"/>
    </row>
    <row r="97" spans="2:23" s="89" customFormat="1" ht="21.95" customHeight="1">
      <c r="B97" s="89" t="s">
        <v>293</v>
      </c>
      <c r="G97" s="465"/>
      <c r="H97" s="297">
        <f>'کنترل قرارداد (3&amp;4)'!H96</f>
        <v>560486.36271300004</v>
      </c>
      <c r="I97" s="90"/>
      <c r="J97" s="448"/>
      <c r="K97" s="448"/>
      <c r="L97" s="448"/>
      <c r="M97" s="448"/>
      <c r="N97" s="448"/>
      <c r="O97" s="448"/>
      <c r="P97" s="448"/>
      <c r="Q97" s="448"/>
      <c r="R97" s="90"/>
      <c r="S97" s="285"/>
    </row>
    <row r="98" spans="2:23" s="89" customFormat="1" ht="21.95" customHeight="1">
      <c r="B98" s="89" t="s">
        <v>495</v>
      </c>
      <c r="G98" s="465"/>
      <c r="H98" s="296">
        <f>H96-H97</f>
        <v>19348.088687000098</v>
      </c>
      <c r="I98" s="90"/>
      <c r="J98" s="448"/>
      <c r="K98" s="448"/>
      <c r="L98" s="448"/>
      <c r="M98" s="448"/>
      <c r="N98" s="448"/>
      <c r="O98" s="448"/>
      <c r="P98" s="448"/>
      <c r="Q98" s="448"/>
      <c r="R98" s="90"/>
      <c r="S98" s="285"/>
    </row>
    <row r="99" spans="2:23" ht="21.95" customHeight="1">
      <c r="B99" s="92" t="s">
        <v>269</v>
      </c>
      <c r="C99" s="92"/>
      <c r="D99" s="89"/>
      <c r="E99" s="92"/>
      <c r="F99" s="89"/>
      <c r="G99" s="465"/>
      <c r="H99" s="298">
        <f>(H98*9%)</f>
        <v>1741.3279818300086</v>
      </c>
      <c r="I99" s="93"/>
      <c r="J99" s="448"/>
      <c r="K99" s="448"/>
      <c r="L99" s="448"/>
      <c r="M99" s="448"/>
      <c r="N99" s="448"/>
      <c r="O99" s="448"/>
      <c r="P99" s="448"/>
      <c r="Q99" s="448"/>
      <c r="R99" s="93"/>
      <c r="T99" s="49">
        <v>12942.176023170003</v>
      </c>
      <c r="V99" s="49">
        <v>12942.18</v>
      </c>
      <c r="W99" s="49">
        <v>3.9768299975548897E-3</v>
      </c>
    </row>
    <row r="100" spans="2:23" ht="21.95" customHeight="1">
      <c r="B100" s="268"/>
      <c r="C100" s="268"/>
      <c r="E100" s="268"/>
      <c r="G100" s="464"/>
      <c r="H100" s="299"/>
      <c r="I100" s="269"/>
      <c r="J100" s="448"/>
      <c r="K100" s="448"/>
      <c r="L100" s="448"/>
      <c r="M100" s="448"/>
      <c r="N100" s="448"/>
      <c r="O100" s="448"/>
      <c r="P100" s="448"/>
      <c r="Q100" s="448"/>
      <c r="R100" s="269"/>
    </row>
    <row r="101" spans="2:23" ht="21.95" customHeight="1" thickBot="1">
      <c r="B101" s="94" t="s">
        <v>308</v>
      </c>
      <c r="C101" s="92"/>
      <c r="D101" s="89"/>
      <c r="E101" s="92"/>
      <c r="F101" s="89"/>
      <c r="G101" s="465"/>
      <c r="H101" s="300">
        <f>SUM(H98:H99)</f>
        <v>21089.416668830105</v>
      </c>
      <c r="I101" s="93"/>
      <c r="J101" s="448"/>
      <c r="K101" s="448"/>
      <c r="L101" s="448"/>
      <c r="M101" s="448"/>
      <c r="N101" s="448"/>
      <c r="O101" s="448"/>
      <c r="P101" s="448"/>
      <c r="Q101" s="448"/>
      <c r="R101" s="93"/>
    </row>
    <row r="102" spans="2:23" ht="21.95" customHeight="1" thickTop="1">
      <c r="B102" s="94"/>
      <c r="C102" s="92"/>
      <c r="D102" s="89"/>
      <c r="E102" s="92"/>
      <c r="F102" s="89"/>
      <c r="G102" s="465"/>
      <c r="H102" s="301"/>
      <c r="I102" s="93"/>
      <c r="J102" s="448"/>
      <c r="K102" s="448"/>
      <c r="L102" s="448"/>
      <c r="M102" s="448"/>
      <c r="N102" s="448"/>
      <c r="O102" s="448"/>
      <c r="P102" s="448"/>
      <c r="Q102" s="448"/>
      <c r="R102" s="93"/>
    </row>
    <row r="103" spans="2:23" ht="21.95" customHeight="1">
      <c r="B103" s="92" t="s">
        <v>489</v>
      </c>
      <c r="C103" s="92"/>
      <c r="D103" s="89"/>
      <c r="E103" s="92"/>
      <c r="F103" s="89"/>
      <c r="G103" s="465"/>
      <c r="H103" s="302">
        <f>H98+0.01</f>
        <v>19348.098687000096</v>
      </c>
      <c r="J103" s="448"/>
      <c r="K103" s="448"/>
      <c r="L103" s="448"/>
      <c r="M103" s="448"/>
      <c r="N103" s="448"/>
      <c r="O103" s="448"/>
      <c r="P103" s="448"/>
      <c r="Q103" s="448"/>
    </row>
    <row r="104" spans="2:23" ht="21.95" customHeight="1">
      <c r="B104" s="92" t="s">
        <v>269</v>
      </c>
      <c r="C104" s="92"/>
      <c r="D104" s="89"/>
      <c r="E104" s="92"/>
      <c r="F104" s="89"/>
      <c r="G104" s="465"/>
      <c r="H104" s="298">
        <f>(H103*9%)</f>
        <v>1741.3288818300086</v>
      </c>
      <c r="I104" s="93"/>
      <c r="J104" s="448"/>
      <c r="K104" s="448"/>
      <c r="L104" s="448"/>
      <c r="M104" s="448"/>
      <c r="N104" s="448"/>
      <c r="O104" s="448"/>
      <c r="P104" s="448"/>
      <c r="Q104" s="448"/>
      <c r="R104" s="93"/>
      <c r="T104" s="49">
        <v>12942.176023170003</v>
      </c>
      <c r="V104" s="49">
        <v>12942.18</v>
      </c>
      <c r="W104" s="49">
        <v>3.9768299975548897E-3</v>
      </c>
    </row>
    <row r="105" spans="2:23" ht="21.95" customHeight="1">
      <c r="B105" s="89" t="s">
        <v>270</v>
      </c>
      <c r="C105" s="89"/>
      <c r="D105" s="89"/>
      <c r="E105" s="89"/>
      <c r="F105" s="89"/>
      <c r="G105" s="466"/>
      <c r="H105" s="303">
        <f>SUM(H103:H104)</f>
        <v>21089.427568830106</v>
      </c>
      <c r="J105" s="448"/>
      <c r="K105" s="448"/>
      <c r="L105" s="448"/>
      <c r="M105" s="448"/>
      <c r="N105" s="448"/>
      <c r="O105" s="448"/>
      <c r="P105" s="448"/>
      <c r="Q105" s="448"/>
    </row>
    <row r="106" spans="2:23" ht="21.95" customHeight="1">
      <c r="B106" s="89" t="s">
        <v>302</v>
      </c>
      <c r="C106" s="89"/>
      <c r="D106" s="89"/>
      <c r="E106" s="89"/>
      <c r="F106" s="89"/>
      <c r="G106" s="466"/>
      <c r="H106" s="304">
        <v>0</v>
      </c>
      <c r="J106" s="448"/>
      <c r="K106" s="448"/>
      <c r="L106" s="448"/>
      <c r="M106" s="448"/>
      <c r="N106" s="448"/>
      <c r="O106" s="448"/>
      <c r="P106" s="448"/>
      <c r="Q106" s="448"/>
    </row>
    <row r="107" spans="2:23" ht="21.95" customHeight="1" thickBot="1">
      <c r="B107" s="94" t="s">
        <v>272</v>
      </c>
      <c r="C107" s="89"/>
      <c r="D107" s="89"/>
      <c r="E107" s="89"/>
      <c r="F107" s="89"/>
      <c r="G107" s="466"/>
      <c r="H107" s="305">
        <f>SUM(H105:H106)</f>
        <v>21089.427568830106</v>
      </c>
      <c r="J107" s="448"/>
      <c r="K107" s="448"/>
      <c r="L107" s="448"/>
      <c r="M107" s="448"/>
      <c r="N107" s="448"/>
      <c r="O107" s="448"/>
      <c r="P107" s="448"/>
      <c r="Q107" s="448"/>
    </row>
    <row r="108" spans="2:23" ht="21.95" customHeight="1" thickTop="1">
      <c r="B108" s="89"/>
      <c r="C108" s="89"/>
      <c r="D108" s="89"/>
      <c r="E108" s="89"/>
      <c r="F108" s="224"/>
      <c r="G108" s="466"/>
      <c r="H108" s="196"/>
      <c r="J108" s="448"/>
      <c r="K108" s="448"/>
      <c r="L108" s="448"/>
      <c r="M108" s="448"/>
      <c r="N108" s="448"/>
      <c r="O108" s="448"/>
      <c r="P108" s="448"/>
      <c r="Q108" s="448"/>
    </row>
    <row r="109" spans="2:23" ht="21.95" customHeight="1">
      <c r="B109" s="89"/>
      <c r="C109" s="89"/>
      <c r="D109" s="89"/>
      <c r="E109" s="89"/>
      <c r="F109" s="89"/>
      <c r="G109" s="467"/>
      <c r="H109" s="194"/>
      <c r="J109" s="448"/>
      <c r="K109" s="448"/>
      <c r="L109" s="448"/>
      <c r="M109" s="448"/>
      <c r="N109" s="448"/>
      <c r="O109" s="448"/>
      <c r="P109" s="448"/>
      <c r="Q109" s="448"/>
    </row>
    <row r="110" spans="2:23" ht="21.95" customHeight="1">
      <c r="B110" s="89"/>
      <c r="C110" s="89"/>
      <c r="D110" s="89"/>
      <c r="E110" s="89"/>
      <c r="F110" s="89"/>
      <c r="G110" s="467"/>
      <c r="H110" s="194"/>
      <c r="J110" s="448"/>
      <c r="K110" s="448"/>
      <c r="L110" s="448"/>
      <c r="M110" s="448"/>
      <c r="N110" s="448"/>
      <c r="O110" s="448"/>
      <c r="P110" s="448"/>
      <c r="Q110" s="448"/>
    </row>
    <row r="111" spans="2:23" ht="21.95" customHeight="1">
      <c r="H111" s="198"/>
      <c r="J111" s="448"/>
      <c r="K111" s="448"/>
      <c r="L111" s="448"/>
      <c r="M111" s="448"/>
      <c r="N111" s="448"/>
      <c r="O111" s="448"/>
      <c r="P111" s="448"/>
      <c r="Q111" s="448"/>
    </row>
    <row r="112" spans="2:23" ht="21.95" customHeight="1">
      <c r="H112" s="198"/>
      <c r="J112" s="201"/>
      <c r="K112" s="201"/>
      <c r="L112" s="201"/>
      <c r="M112" s="201"/>
      <c r="N112" s="201"/>
      <c r="O112" s="201"/>
      <c r="P112" s="201"/>
      <c r="Q112" s="363"/>
    </row>
    <row r="113" spans="10:17" ht="19.5" customHeight="1">
      <c r="J113" s="201"/>
      <c r="K113" s="201"/>
      <c r="L113" s="201"/>
      <c r="M113" s="201"/>
      <c r="N113" s="201"/>
      <c r="O113" s="201"/>
      <c r="P113" s="201"/>
      <c r="Q113" s="363"/>
    </row>
    <row r="114" spans="10:17" ht="19.5" customHeight="1">
      <c r="J114" s="201"/>
      <c r="K114" s="201"/>
      <c r="L114" s="201"/>
      <c r="M114" s="201"/>
      <c r="N114" s="201"/>
      <c r="O114" s="201"/>
      <c r="P114" s="201"/>
      <c r="Q114" s="363"/>
    </row>
    <row r="115" spans="10:17" ht="19.5" customHeight="1">
      <c r="J115" s="201"/>
      <c r="K115" s="201"/>
      <c r="L115" s="201"/>
      <c r="M115" s="201"/>
      <c r="N115" s="201"/>
      <c r="O115" s="201"/>
      <c r="P115" s="201"/>
      <c r="Q115" s="363"/>
    </row>
    <row r="116" spans="10:17" ht="19.5" customHeight="1">
      <c r="J116" s="201"/>
      <c r="K116" s="201"/>
      <c r="L116" s="201"/>
      <c r="M116" s="201"/>
      <c r="N116" s="201"/>
      <c r="O116" s="201"/>
      <c r="P116" s="201"/>
      <c r="Q116" s="363"/>
    </row>
  </sheetData>
  <autoFilter ref="A5:S90" xr:uid="{2677F53A-618D-4F2A-ACD6-49F1DBDD5742}"/>
  <mergeCells count="1">
    <mergeCell ref="J96:Q111"/>
  </mergeCells>
  <printOptions horizontalCentered="1"/>
  <pageMargins left="0" right="0" top="0.75" bottom="0.35" header="0.3" footer="0.3"/>
  <pageSetup scale="43" fitToHeight="0" orientation="portrait" r:id="rId1"/>
  <headerFooter>
    <oddFooter>&amp;Cصفحه &amp;P از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98C80-B863-4204-861C-110D6A390766}">
  <sheetPr>
    <pageSetUpPr fitToPage="1"/>
  </sheetPr>
  <dimension ref="B1:Y116"/>
  <sheetViews>
    <sheetView rightToLeft="1" tabSelected="1" view="pageBreakPreview" topLeftCell="A94" zoomScale="112" zoomScaleNormal="100" zoomScaleSheetLayoutView="112" workbookViewId="0">
      <selection activeCell="H104" sqref="H104"/>
    </sheetView>
  </sheetViews>
  <sheetFormatPr defaultColWidth="9.140625" defaultRowHeight="19.5"/>
  <cols>
    <col min="1" max="1" width="2.7109375" style="49" customWidth="1"/>
    <col min="2" max="2" width="5.7109375" style="49" customWidth="1"/>
    <col min="3" max="3" width="12.140625" style="49" bestFit="1" customWidth="1"/>
    <col min="4" max="4" width="60.5703125" style="49" customWidth="1"/>
    <col min="5" max="5" width="5" style="49" bestFit="1" customWidth="1"/>
    <col min="6" max="6" width="11.5703125" style="273" bestFit="1" customWidth="1"/>
    <col min="7" max="7" width="9.140625" style="453" customWidth="1"/>
    <col min="8" max="8" width="12.7109375" style="287" customWidth="1"/>
    <col min="9" max="9" width="1.7109375" style="49" customWidth="1"/>
    <col min="10" max="15" width="10.5703125" style="273" customWidth="1"/>
    <col min="16" max="16" width="12.42578125" style="273" customWidth="1"/>
    <col min="17" max="17" width="9.7109375" style="49" customWidth="1"/>
    <col min="18" max="18" width="11.5703125" style="273" customWidth="1"/>
    <col min="19" max="19" width="1.7109375" style="49" customWidth="1"/>
    <col min="20" max="20" width="12" style="273" customWidth="1"/>
    <col min="21" max="21" width="9.140625" style="49" customWidth="1"/>
    <col min="22" max="22" width="9.7109375" style="49" customWidth="1"/>
    <col min="23" max="25" width="9.140625" style="49" customWidth="1"/>
    <col min="26" max="16384" width="9.140625" style="49"/>
  </cols>
  <sheetData>
    <row r="1" spans="2:22" s="45" customFormat="1" ht="27.95" customHeight="1">
      <c r="B1" s="44" t="s">
        <v>286</v>
      </c>
      <c r="C1" s="44"/>
      <c r="E1" s="44"/>
      <c r="F1" s="272"/>
      <c r="G1" s="451"/>
      <c r="H1" s="286"/>
      <c r="J1" s="272"/>
      <c r="K1" s="272"/>
      <c r="L1" s="272"/>
      <c r="M1" s="272"/>
      <c r="N1" s="272"/>
      <c r="O1" s="272"/>
      <c r="P1" s="272"/>
      <c r="R1" s="315" t="s">
        <v>284</v>
      </c>
      <c r="T1" s="315"/>
    </row>
    <row r="2" spans="2:22" s="45" customFormat="1" ht="27.95" customHeight="1">
      <c r="B2" s="44" t="s">
        <v>254</v>
      </c>
      <c r="C2" s="44"/>
      <c r="E2" s="44"/>
      <c r="F2" s="272"/>
      <c r="G2" s="451"/>
      <c r="H2" s="286"/>
      <c r="J2" s="272"/>
      <c r="K2" s="272"/>
      <c r="L2" s="272"/>
      <c r="M2" s="272"/>
      <c r="N2" s="272"/>
      <c r="O2" s="272"/>
      <c r="P2" s="272"/>
      <c r="R2" s="315" t="s">
        <v>278</v>
      </c>
      <c r="T2" s="315"/>
    </row>
    <row r="3" spans="2:22" s="45" customFormat="1" ht="27.95" customHeight="1">
      <c r="B3" s="44" t="s">
        <v>285</v>
      </c>
      <c r="C3" s="44"/>
      <c r="E3" s="44"/>
      <c r="F3" s="272"/>
      <c r="G3" s="452"/>
      <c r="H3" s="286"/>
      <c r="J3" s="272"/>
      <c r="K3" s="272"/>
      <c r="L3" s="272"/>
      <c r="M3" s="272"/>
      <c r="N3" s="272"/>
      <c r="O3" s="272"/>
      <c r="P3" s="272"/>
      <c r="R3" s="315" t="s">
        <v>490</v>
      </c>
      <c r="T3" s="315"/>
    </row>
    <row r="4" spans="2:22" ht="6" customHeight="1"/>
    <row r="5" spans="2:22" s="332" customFormat="1" ht="65.25">
      <c r="B5" s="325" t="s">
        <v>255</v>
      </c>
      <c r="C5" s="325" t="s">
        <v>256</v>
      </c>
      <c r="D5" s="325" t="s">
        <v>257</v>
      </c>
      <c r="E5" s="326" t="s">
        <v>258</v>
      </c>
      <c r="F5" s="327" t="s">
        <v>259</v>
      </c>
      <c r="G5" s="454" t="s">
        <v>260</v>
      </c>
      <c r="H5" s="328" t="s">
        <v>261</v>
      </c>
      <c r="I5" s="329"/>
      <c r="J5" s="324" t="s">
        <v>288</v>
      </c>
      <c r="K5" s="324" t="s">
        <v>289</v>
      </c>
      <c r="L5" s="324" t="s">
        <v>299</v>
      </c>
      <c r="M5" s="324" t="s">
        <v>300</v>
      </c>
      <c r="N5" s="393" t="s">
        <v>487</v>
      </c>
      <c r="O5" s="408" t="s">
        <v>491</v>
      </c>
      <c r="P5" s="324" t="s">
        <v>292</v>
      </c>
      <c r="Q5" s="330" t="s">
        <v>283</v>
      </c>
      <c r="R5" s="331" t="s">
        <v>295</v>
      </c>
      <c r="T5" s="331" t="s">
        <v>305</v>
      </c>
    </row>
    <row r="6" spans="2:22" s="336" customFormat="1" ht="21.75" customHeight="1">
      <c r="B6" s="58">
        <v>1</v>
      </c>
      <c r="C6" s="333" t="s">
        <v>118</v>
      </c>
      <c r="D6" s="334" t="s">
        <v>119</v>
      </c>
      <c r="E6" s="59" t="s">
        <v>273</v>
      </c>
      <c r="F6" s="274">
        <v>277.5</v>
      </c>
      <c r="G6" s="455">
        <v>1.077</v>
      </c>
      <c r="H6" s="288">
        <f>F6*G6</f>
        <v>298.86750000000001</v>
      </c>
      <c r="I6" s="335"/>
      <c r="J6" s="307">
        <v>0</v>
      </c>
      <c r="K6" s="307">
        <v>0</v>
      </c>
      <c r="L6" s="307">
        <v>0</v>
      </c>
      <c r="M6" s="307">
        <v>277.5</v>
      </c>
      <c r="N6" s="307">
        <v>0</v>
      </c>
      <c r="O6" s="307">
        <v>0</v>
      </c>
      <c r="P6" s="307">
        <f>SUM(J6:O6)</f>
        <v>277.5</v>
      </c>
      <c r="Q6" s="157">
        <f t="shared" ref="Q6:Q37" si="0">P6/F6</f>
        <v>1</v>
      </c>
      <c r="R6" s="316">
        <f t="shared" ref="R6:R37" si="1">P6*G6</f>
        <v>298.86750000000001</v>
      </c>
      <c r="T6" s="316">
        <f t="shared" ref="T6:T37" si="2">(F6-P6)*G6</f>
        <v>0</v>
      </c>
    </row>
    <row r="7" spans="2:22" s="336" customFormat="1" ht="21.75" customHeight="1">
      <c r="B7" s="65">
        <v>2</v>
      </c>
      <c r="C7" s="337" t="s">
        <v>35</v>
      </c>
      <c r="D7" s="338" t="s">
        <v>120</v>
      </c>
      <c r="E7" s="66" t="s">
        <v>273</v>
      </c>
      <c r="F7" s="275">
        <v>22</v>
      </c>
      <c r="G7" s="456">
        <v>1.508</v>
      </c>
      <c r="H7" s="289">
        <f>F7*G7</f>
        <v>33.176000000000002</v>
      </c>
      <c r="I7" s="335"/>
      <c r="J7" s="308">
        <v>22</v>
      </c>
      <c r="K7" s="308">
        <v>0</v>
      </c>
      <c r="L7" s="308">
        <v>0</v>
      </c>
      <c r="M7" s="308">
        <v>0</v>
      </c>
      <c r="N7" s="308">
        <v>0</v>
      </c>
      <c r="O7" s="309">
        <v>0</v>
      </c>
      <c r="P7" s="307">
        <f t="shared" ref="P7:P70" si="3">SUM(J7:O7)</f>
        <v>22</v>
      </c>
      <c r="Q7" s="158">
        <f t="shared" si="0"/>
        <v>1</v>
      </c>
      <c r="R7" s="317">
        <f t="shared" si="1"/>
        <v>33.176000000000002</v>
      </c>
      <c r="T7" s="317">
        <f t="shared" si="2"/>
        <v>0</v>
      </c>
    </row>
    <row r="8" spans="2:22" s="336" customFormat="1" ht="21.75" customHeight="1">
      <c r="B8" s="65">
        <v>3</v>
      </c>
      <c r="C8" s="337" t="s">
        <v>37</v>
      </c>
      <c r="D8" s="338" t="s">
        <v>121</v>
      </c>
      <c r="E8" s="66" t="s">
        <v>273</v>
      </c>
      <c r="F8" s="275">
        <v>1.5</v>
      </c>
      <c r="G8" s="456">
        <v>2.2970000000000002</v>
      </c>
      <c r="H8" s="289">
        <f t="shared" ref="H8:H71" si="4">F8*G8</f>
        <v>3.4455</v>
      </c>
      <c r="I8" s="335"/>
      <c r="J8" s="308">
        <v>1.5</v>
      </c>
      <c r="K8" s="308">
        <v>0</v>
      </c>
      <c r="L8" s="308">
        <v>0</v>
      </c>
      <c r="M8" s="308">
        <v>0</v>
      </c>
      <c r="N8" s="308">
        <v>0</v>
      </c>
      <c r="O8" s="309">
        <v>0</v>
      </c>
      <c r="P8" s="307">
        <f t="shared" si="3"/>
        <v>1.5</v>
      </c>
      <c r="Q8" s="158">
        <f t="shared" si="0"/>
        <v>1</v>
      </c>
      <c r="R8" s="317">
        <f t="shared" si="1"/>
        <v>3.4455</v>
      </c>
      <c r="T8" s="317">
        <f t="shared" si="2"/>
        <v>0</v>
      </c>
    </row>
    <row r="9" spans="2:22" s="336" customFormat="1" ht="21.75" customHeight="1">
      <c r="B9" s="65">
        <v>4</v>
      </c>
      <c r="C9" s="337" t="s">
        <v>48</v>
      </c>
      <c r="D9" s="338" t="s">
        <v>122</v>
      </c>
      <c r="E9" s="66" t="s">
        <v>273</v>
      </c>
      <c r="F9" s="275">
        <v>1558</v>
      </c>
      <c r="G9" s="456">
        <v>1.149</v>
      </c>
      <c r="H9" s="289">
        <f t="shared" si="4"/>
        <v>1790.1420000000001</v>
      </c>
      <c r="I9" s="335"/>
      <c r="J9" s="308">
        <v>1558</v>
      </c>
      <c r="K9" s="308">
        <v>0</v>
      </c>
      <c r="L9" s="308">
        <v>0</v>
      </c>
      <c r="M9" s="308">
        <v>0</v>
      </c>
      <c r="N9" s="308">
        <v>0</v>
      </c>
      <c r="O9" s="309">
        <v>0</v>
      </c>
      <c r="P9" s="307">
        <f t="shared" si="3"/>
        <v>1558</v>
      </c>
      <c r="Q9" s="158">
        <f t="shared" si="0"/>
        <v>1</v>
      </c>
      <c r="R9" s="317">
        <f t="shared" si="1"/>
        <v>1790.1420000000001</v>
      </c>
      <c r="T9" s="317">
        <f t="shared" si="2"/>
        <v>0</v>
      </c>
    </row>
    <row r="10" spans="2:22" s="336" customFormat="1" ht="21.75" customHeight="1">
      <c r="B10" s="65">
        <v>5</v>
      </c>
      <c r="C10" s="337" t="s">
        <v>50</v>
      </c>
      <c r="D10" s="338" t="s">
        <v>123</v>
      </c>
      <c r="E10" s="66" t="s">
        <v>273</v>
      </c>
      <c r="F10" s="275">
        <v>122.5</v>
      </c>
      <c r="G10" s="456">
        <v>1.7230000000000001</v>
      </c>
      <c r="H10" s="289">
        <f t="shared" si="4"/>
        <v>211.06750000000002</v>
      </c>
      <c r="I10" s="335"/>
      <c r="J10" s="308">
        <v>122.5</v>
      </c>
      <c r="K10" s="308">
        <v>0</v>
      </c>
      <c r="L10" s="308">
        <v>0</v>
      </c>
      <c r="M10" s="308">
        <v>0</v>
      </c>
      <c r="N10" s="308">
        <v>0</v>
      </c>
      <c r="O10" s="309">
        <v>0</v>
      </c>
      <c r="P10" s="373">
        <f>SUM(J10:O10)-O10</f>
        <v>122.5</v>
      </c>
      <c r="Q10" s="158">
        <f t="shared" si="0"/>
        <v>1</v>
      </c>
      <c r="R10" s="317">
        <f t="shared" si="1"/>
        <v>211.06750000000002</v>
      </c>
      <c r="T10" s="317">
        <f t="shared" si="2"/>
        <v>0</v>
      </c>
    </row>
    <row r="11" spans="2:22" s="336" customFormat="1" ht="21.75" customHeight="1">
      <c r="B11" s="65">
        <v>6</v>
      </c>
      <c r="C11" s="337" t="s">
        <v>52</v>
      </c>
      <c r="D11" s="338" t="s">
        <v>124</v>
      </c>
      <c r="E11" s="66" t="s">
        <v>273</v>
      </c>
      <c r="F11" s="275">
        <v>4.5</v>
      </c>
      <c r="G11" s="456">
        <v>2.44</v>
      </c>
      <c r="H11" s="289">
        <f t="shared" si="4"/>
        <v>10.98</v>
      </c>
      <c r="I11" s="335"/>
      <c r="J11" s="308">
        <v>4.5</v>
      </c>
      <c r="K11" s="308">
        <v>0</v>
      </c>
      <c r="L11" s="308">
        <v>0</v>
      </c>
      <c r="M11" s="308">
        <v>0</v>
      </c>
      <c r="N11" s="308">
        <v>0</v>
      </c>
      <c r="O11" s="309">
        <v>0</v>
      </c>
      <c r="P11" s="307">
        <f t="shared" si="3"/>
        <v>4.5</v>
      </c>
      <c r="Q11" s="158">
        <f t="shared" si="0"/>
        <v>1</v>
      </c>
      <c r="R11" s="317">
        <f t="shared" si="1"/>
        <v>10.98</v>
      </c>
      <c r="T11" s="317">
        <f t="shared" si="2"/>
        <v>0</v>
      </c>
    </row>
    <row r="12" spans="2:22" s="336" customFormat="1" ht="21.75" customHeight="1">
      <c r="B12" s="65">
        <v>7</v>
      </c>
      <c r="C12" s="337" t="s">
        <v>125</v>
      </c>
      <c r="D12" s="338" t="s">
        <v>126</v>
      </c>
      <c r="E12" s="66" t="s">
        <v>273</v>
      </c>
      <c r="F12" s="275">
        <v>1104.5</v>
      </c>
      <c r="G12" s="456">
        <v>1.1919999999999999</v>
      </c>
      <c r="H12" s="289">
        <f t="shared" si="4"/>
        <v>1316.5639999999999</v>
      </c>
      <c r="I12" s="335"/>
      <c r="J12" s="308">
        <v>0</v>
      </c>
      <c r="K12" s="308">
        <v>0</v>
      </c>
      <c r="L12" s="308">
        <f>600+504.5</f>
        <v>1104.5</v>
      </c>
      <c r="M12" s="308">
        <v>0</v>
      </c>
      <c r="N12" s="364">
        <f>'Packing List Items'!R159+'Packing List Items'!R166+'Packing List Items'!R167</f>
        <v>3000</v>
      </c>
      <c r="O12" s="309">
        <v>0</v>
      </c>
      <c r="P12" s="373">
        <f>SUM(J12:O12)-O12</f>
        <v>4104.5</v>
      </c>
      <c r="Q12" s="271">
        <f t="shared" si="0"/>
        <v>3.716161158895428</v>
      </c>
      <c r="R12" s="317">
        <f t="shared" si="1"/>
        <v>4892.5639999999994</v>
      </c>
      <c r="T12" s="365">
        <f t="shared" si="2"/>
        <v>-3576</v>
      </c>
      <c r="U12" s="336">
        <f>N12*G12</f>
        <v>3576</v>
      </c>
      <c r="V12" s="409">
        <f>T12+U12</f>
        <v>0</v>
      </c>
    </row>
    <row r="13" spans="2:22" s="336" customFormat="1" ht="21.75" customHeight="1">
      <c r="B13" s="65">
        <v>8</v>
      </c>
      <c r="C13" s="337" t="s">
        <v>127</v>
      </c>
      <c r="D13" s="338" t="s">
        <v>128</v>
      </c>
      <c r="E13" s="66" t="s">
        <v>273</v>
      </c>
      <c r="F13" s="275">
        <v>323.5</v>
      </c>
      <c r="G13" s="456">
        <v>1.7949999999999999</v>
      </c>
      <c r="H13" s="289">
        <f t="shared" si="4"/>
        <v>580.6825</v>
      </c>
      <c r="I13" s="335"/>
      <c r="J13" s="308">
        <v>0</v>
      </c>
      <c r="K13" s="308">
        <v>0</v>
      </c>
      <c r="L13" s="308">
        <v>0</v>
      </c>
      <c r="M13" s="308">
        <v>323.5</v>
      </c>
      <c r="N13" s="308">
        <v>0</v>
      </c>
      <c r="O13" s="309">
        <v>0</v>
      </c>
      <c r="P13" s="307">
        <f t="shared" si="3"/>
        <v>323.5</v>
      </c>
      <c r="Q13" s="158">
        <f t="shared" si="0"/>
        <v>1</v>
      </c>
      <c r="R13" s="317">
        <f t="shared" si="1"/>
        <v>580.6825</v>
      </c>
      <c r="T13" s="317">
        <f t="shared" si="2"/>
        <v>0</v>
      </c>
    </row>
    <row r="14" spans="2:22" s="336" customFormat="1" ht="21.75" customHeight="1">
      <c r="B14" s="65">
        <v>9</v>
      </c>
      <c r="C14" s="337" t="s">
        <v>39</v>
      </c>
      <c r="D14" s="338" t="s">
        <v>129</v>
      </c>
      <c r="E14" s="66" t="s">
        <v>273</v>
      </c>
      <c r="F14" s="275">
        <v>3.5</v>
      </c>
      <c r="G14" s="456">
        <v>2.6560000000000001</v>
      </c>
      <c r="H14" s="289">
        <f t="shared" si="4"/>
        <v>9.2960000000000012</v>
      </c>
      <c r="I14" s="335"/>
      <c r="J14" s="308">
        <v>3.5</v>
      </c>
      <c r="K14" s="308">
        <v>0</v>
      </c>
      <c r="L14" s="308">
        <v>0</v>
      </c>
      <c r="M14" s="308">
        <v>0</v>
      </c>
      <c r="N14" s="308">
        <v>0</v>
      </c>
      <c r="O14" s="309">
        <v>0</v>
      </c>
      <c r="P14" s="307">
        <f t="shared" si="3"/>
        <v>3.5</v>
      </c>
      <c r="Q14" s="158">
        <f t="shared" si="0"/>
        <v>1</v>
      </c>
      <c r="R14" s="317">
        <f t="shared" si="1"/>
        <v>9.2960000000000012</v>
      </c>
      <c r="T14" s="317">
        <f t="shared" si="2"/>
        <v>0</v>
      </c>
    </row>
    <row r="15" spans="2:22" s="336" customFormat="1" ht="21.75" customHeight="1">
      <c r="B15" s="65">
        <v>10</v>
      </c>
      <c r="C15" s="337" t="s">
        <v>130</v>
      </c>
      <c r="D15" s="338" t="s">
        <v>131</v>
      </c>
      <c r="E15" s="66" t="s">
        <v>273</v>
      </c>
      <c r="F15" s="275">
        <v>1697.5</v>
      </c>
      <c r="G15" s="456">
        <v>1.508</v>
      </c>
      <c r="H15" s="289">
        <f t="shared" si="4"/>
        <v>2559.83</v>
      </c>
      <c r="I15" s="335"/>
      <c r="J15" s="308">
        <v>0</v>
      </c>
      <c r="K15" s="308">
        <v>0</v>
      </c>
      <c r="L15" s="308">
        <v>0</v>
      </c>
      <c r="M15" s="308">
        <f>516+540+641.5</f>
        <v>1697.5</v>
      </c>
      <c r="N15" s="308">
        <v>0</v>
      </c>
      <c r="O15" s="309">
        <v>0</v>
      </c>
      <c r="P15" s="307">
        <f t="shared" si="3"/>
        <v>1697.5</v>
      </c>
      <c r="Q15" s="158">
        <f t="shared" si="0"/>
        <v>1</v>
      </c>
      <c r="R15" s="317">
        <f t="shared" si="1"/>
        <v>2559.83</v>
      </c>
      <c r="T15" s="317">
        <f t="shared" si="2"/>
        <v>0</v>
      </c>
    </row>
    <row r="16" spans="2:22" s="336" customFormat="1" ht="21.75" customHeight="1">
      <c r="B16" s="65">
        <v>11</v>
      </c>
      <c r="C16" s="337" t="s">
        <v>132</v>
      </c>
      <c r="D16" s="338" t="s">
        <v>133</v>
      </c>
      <c r="E16" s="66" t="s">
        <v>273</v>
      </c>
      <c r="F16" s="275">
        <v>131</v>
      </c>
      <c r="G16" s="456">
        <v>2.1040000000000001</v>
      </c>
      <c r="H16" s="289">
        <f t="shared" si="4"/>
        <v>275.62400000000002</v>
      </c>
      <c r="I16" s="335"/>
      <c r="J16" s="308">
        <v>0</v>
      </c>
      <c r="K16" s="308">
        <v>0</v>
      </c>
      <c r="L16" s="308">
        <v>131</v>
      </c>
      <c r="M16" s="308">
        <v>0</v>
      </c>
      <c r="N16" s="308">
        <v>0</v>
      </c>
      <c r="O16" s="309">
        <v>0</v>
      </c>
      <c r="P16" s="307">
        <f t="shared" si="3"/>
        <v>131</v>
      </c>
      <c r="Q16" s="158">
        <f t="shared" si="0"/>
        <v>1</v>
      </c>
      <c r="R16" s="317">
        <f t="shared" si="1"/>
        <v>275.62400000000002</v>
      </c>
      <c r="T16" s="317">
        <f t="shared" si="2"/>
        <v>0</v>
      </c>
    </row>
    <row r="17" spans="2:22" s="336" customFormat="1" ht="21.75" customHeight="1">
      <c r="B17" s="65">
        <v>12</v>
      </c>
      <c r="C17" s="337" t="s">
        <v>134</v>
      </c>
      <c r="D17" s="339" t="s">
        <v>135</v>
      </c>
      <c r="E17" s="66" t="s">
        <v>273</v>
      </c>
      <c r="F17" s="275">
        <v>1.5</v>
      </c>
      <c r="G17" s="456">
        <v>2.9430000000000001</v>
      </c>
      <c r="H17" s="289">
        <f t="shared" si="4"/>
        <v>4.4145000000000003</v>
      </c>
      <c r="I17" s="335"/>
      <c r="J17" s="308">
        <v>0</v>
      </c>
      <c r="K17" s="308">
        <v>0</v>
      </c>
      <c r="L17" s="308">
        <v>0</v>
      </c>
      <c r="M17" s="308">
        <v>1.5</v>
      </c>
      <c r="N17" s="308">
        <v>0</v>
      </c>
      <c r="O17" s="309">
        <v>0</v>
      </c>
      <c r="P17" s="307">
        <f t="shared" si="3"/>
        <v>1.5</v>
      </c>
      <c r="Q17" s="158">
        <f t="shared" si="0"/>
        <v>1</v>
      </c>
      <c r="R17" s="317">
        <f t="shared" si="1"/>
        <v>4.4145000000000003</v>
      </c>
      <c r="T17" s="317">
        <f t="shared" si="2"/>
        <v>0</v>
      </c>
    </row>
    <row r="18" spans="2:22" s="336" customFormat="1" ht="21.75" customHeight="1">
      <c r="B18" s="65">
        <v>13</v>
      </c>
      <c r="C18" s="337" t="s">
        <v>41</v>
      </c>
      <c r="D18" s="339" t="s">
        <v>136</v>
      </c>
      <c r="E18" s="66" t="s">
        <v>273</v>
      </c>
      <c r="F18" s="275">
        <v>2009</v>
      </c>
      <c r="G18" s="456">
        <v>1.579</v>
      </c>
      <c r="H18" s="289">
        <f t="shared" si="4"/>
        <v>3172.2109999999998</v>
      </c>
      <c r="I18" s="335"/>
      <c r="J18" s="308">
        <v>110</v>
      </c>
      <c r="K18" s="308">
        <v>0</v>
      </c>
      <c r="L18" s="308">
        <f>684+630+252+216</f>
        <v>1782</v>
      </c>
      <c r="M18" s="308">
        <v>117</v>
      </c>
      <c r="N18" s="308">
        <v>0</v>
      </c>
      <c r="O18" s="309">
        <v>0</v>
      </c>
      <c r="P18" s="373">
        <f>SUM(J18:O18)-O18</f>
        <v>2009</v>
      </c>
      <c r="Q18" s="158">
        <f t="shared" si="0"/>
        <v>1</v>
      </c>
      <c r="R18" s="317">
        <f t="shared" si="1"/>
        <v>3172.2109999999998</v>
      </c>
      <c r="T18" s="317">
        <f t="shared" si="2"/>
        <v>0</v>
      </c>
    </row>
    <row r="19" spans="2:22" s="336" customFormat="1" ht="21.75" customHeight="1">
      <c r="B19" s="65">
        <v>14</v>
      </c>
      <c r="C19" s="337" t="s">
        <v>137</v>
      </c>
      <c r="D19" s="339" t="s">
        <v>138</v>
      </c>
      <c r="E19" s="66" t="s">
        <v>273</v>
      </c>
      <c r="F19" s="275">
        <v>956</v>
      </c>
      <c r="G19" s="456">
        <v>2.44</v>
      </c>
      <c r="H19" s="289">
        <f t="shared" si="4"/>
        <v>2332.64</v>
      </c>
      <c r="I19" s="335"/>
      <c r="J19" s="308">
        <v>0</v>
      </c>
      <c r="K19" s="308">
        <v>0</v>
      </c>
      <c r="L19" s="308">
        <v>636</v>
      </c>
      <c r="M19" s="308">
        <v>320</v>
      </c>
      <c r="N19" s="364">
        <f>'Packing List Items'!R156+'Packing List Items'!R158</f>
        <v>720</v>
      </c>
      <c r="O19" s="309">
        <v>0</v>
      </c>
      <c r="P19" s="373">
        <f>SUM(J19:O19)-O19</f>
        <v>1676</v>
      </c>
      <c r="Q19" s="271">
        <f t="shared" si="0"/>
        <v>1.7531380753138075</v>
      </c>
      <c r="R19" s="317">
        <f t="shared" si="1"/>
        <v>4089.44</v>
      </c>
      <c r="T19" s="365">
        <f t="shared" si="2"/>
        <v>-1756.8</v>
      </c>
      <c r="U19" s="336">
        <f>N19*G19</f>
        <v>1756.8</v>
      </c>
      <c r="V19" s="409">
        <f>T19+U19</f>
        <v>0</v>
      </c>
    </row>
    <row r="20" spans="2:22" s="336" customFormat="1" ht="21.75" customHeight="1">
      <c r="B20" s="65">
        <v>15</v>
      </c>
      <c r="C20" s="337" t="s">
        <v>54</v>
      </c>
      <c r="D20" s="339" t="s">
        <v>139</v>
      </c>
      <c r="E20" s="66" t="s">
        <v>273</v>
      </c>
      <c r="F20" s="275">
        <v>37.5</v>
      </c>
      <c r="G20" s="456">
        <v>3.302</v>
      </c>
      <c r="H20" s="289">
        <f t="shared" si="4"/>
        <v>123.825</v>
      </c>
      <c r="I20" s="335"/>
      <c r="J20" s="308">
        <v>37.5</v>
      </c>
      <c r="K20" s="308">
        <v>0</v>
      </c>
      <c r="L20" s="308">
        <v>0</v>
      </c>
      <c r="M20" s="308">
        <v>0</v>
      </c>
      <c r="N20" s="308">
        <v>0</v>
      </c>
      <c r="O20" s="309">
        <v>0</v>
      </c>
      <c r="P20" s="307">
        <f t="shared" si="3"/>
        <v>37.5</v>
      </c>
      <c r="Q20" s="158">
        <f t="shared" si="0"/>
        <v>1</v>
      </c>
      <c r="R20" s="317">
        <f t="shared" si="1"/>
        <v>123.825</v>
      </c>
      <c r="T20" s="317">
        <f t="shared" si="2"/>
        <v>0</v>
      </c>
    </row>
    <row r="21" spans="2:22" s="336" customFormat="1" ht="21.75" customHeight="1">
      <c r="B21" s="65">
        <v>16</v>
      </c>
      <c r="C21" s="337" t="s">
        <v>140</v>
      </c>
      <c r="D21" s="339" t="s">
        <v>141</v>
      </c>
      <c r="E21" s="66" t="s">
        <v>273</v>
      </c>
      <c r="F21" s="275">
        <v>1.5</v>
      </c>
      <c r="G21" s="456">
        <v>4.2350000000000003</v>
      </c>
      <c r="H21" s="289">
        <f t="shared" si="4"/>
        <v>6.3525000000000009</v>
      </c>
      <c r="I21" s="335"/>
      <c r="J21" s="308">
        <v>0</v>
      </c>
      <c r="K21" s="308">
        <v>0</v>
      </c>
      <c r="L21" s="308">
        <v>0</v>
      </c>
      <c r="M21" s="308">
        <v>1.5</v>
      </c>
      <c r="N21" s="308">
        <v>0</v>
      </c>
      <c r="O21" s="309">
        <v>0</v>
      </c>
      <c r="P21" s="307">
        <f t="shared" si="3"/>
        <v>1.5</v>
      </c>
      <c r="Q21" s="158">
        <f t="shared" si="0"/>
        <v>1</v>
      </c>
      <c r="R21" s="317">
        <f t="shared" si="1"/>
        <v>6.3525000000000009</v>
      </c>
      <c r="T21" s="317">
        <f t="shared" si="2"/>
        <v>0</v>
      </c>
    </row>
    <row r="22" spans="2:22" s="336" customFormat="1" ht="21.75" customHeight="1">
      <c r="B22" s="65">
        <v>17</v>
      </c>
      <c r="C22" s="337" t="s">
        <v>111</v>
      </c>
      <c r="D22" s="338" t="s">
        <v>142</v>
      </c>
      <c r="E22" s="66" t="s">
        <v>273</v>
      </c>
      <c r="F22" s="275">
        <v>1170.5</v>
      </c>
      <c r="G22" s="456">
        <v>2.1539999999999999</v>
      </c>
      <c r="H22" s="289">
        <f t="shared" si="4"/>
        <v>2521.2570000000001</v>
      </c>
      <c r="I22" s="335"/>
      <c r="J22" s="308">
        <v>575</v>
      </c>
      <c r="K22" s="308">
        <v>0</v>
      </c>
      <c r="L22" s="308">
        <v>96</v>
      </c>
      <c r="M22" s="308">
        <f>112+216+171.5</f>
        <v>499.5</v>
      </c>
      <c r="N22" s="308">
        <v>0</v>
      </c>
      <c r="O22" s="309">
        <v>0</v>
      </c>
      <c r="P22" s="307">
        <f t="shared" si="3"/>
        <v>1170.5</v>
      </c>
      <c r="Q22" s="158">
        <f t="shared" si="0"/>
        <v>1</v>
      </c>
      <c r="R22" s="317">
        <f t="shared" si="1"/>
        <v>2521.2570000000001</v>
      </c>
      <c r="T22" s="317">
        <f t="shared" si="2"/>
        <v>0</v>
      </c>
    </row>
    <row r="23" spans="2:22" s="336" customFormat="1" ht="21.75" customHeight="1">
      <c r="B23" s="65">
        <v>18</v>
      </c>
      <c r="C23" s="337" t="s">
        <v>82</v>
      </c>
      <c r="D23" s="338" t="s">
        <v>143</v>
      </c>
      <c r="E23" s="66" t="s">
        <v>273</v>
      </c>
      <c r="F23" s="275">
        <v>620.5</v>
      </c>
      <c r="G23" s="456">
        <v>3.0859999999999999</v>
      </c>
      <c r="H23" s="289">
        <f t="shared" si="4"/>
        <v>1914.8629999999998</v>
      </c>
      <c r="I23" s="335"/>
      <c r="J23" s="308">
        <v>620.5</v>
      </c>
      <c r="K23" s="308">
        <v>0</v>
      </c>
      <c r="L23" s="308">
        <v>0</v>
      </c>
      <c r="M23" s="308">
        <v>0</v>
      </c>
      <c r="N23" s="308">
        <v>0</v>
      </c>
      <c r="O23" s="309">
        <v>0</v>
      </c>
      <c r="P23" s="307">
        <f t="shared" si="3"/>
        <v>620.5</v>
      </c>
      <c r="Q23" s="158">
        <f t="shared" si="0"/>
        <v>1</v>
      </c>
      <c r="R23" s="317">
        <f t="shared" si="1"/>
        <v>1914.8629999999998</v>
      </c>
      <c r="T23" s="317">
        <f t="shared" si="2"/>
        <v>0</v>
      </c>
    </row>
    <row r="24" spans="2:22" s="336" customFormat="1" ht="21.75" customHeight="1">
      <c r="B24" s="65">
        <v>19</v>
      </c>
      <c r="C24" s="337" t="s">
        <v>144</v>
      </c>
      <c r="D24" s="338" t="s">
        <v>145</v>
      </c>
      <c r="E24" s="66" t="s">
        <v>273</v>
      </c>
      <c r="F24" s="276">
        <v>139</v>
      </c>
      <c r="G24" s="456">
        <v>4.0739999999999998</v>
      </c>
      <c r="H24" s="289">
        <f t="shared" si="4"/>
        <v>566.28599999999994</v>
      </c>
      <c r="I24" s="335"/>
      <c r="J24" s="308">
        <v>0</v>
      </c>
      <c r="K24" s="308">
        <v>139</v>
      </c>
      <c r="L24" s="308">
        <v>0</v>
      </c>
      <c r="M24" s="308">
        <v>0</v>
      </c>
      <c r="N24" s="308">
        <v>0</v>
      </c>
      <c r="O24" s="309">
        <v>0</v>
      </c>
      <c r="P24" s="307">
        <f t="shared" si="3"/>
        <v>139</v>
      </c>
      <c r="Q24" s="158">
        <f t="shared" si="0"/>
        <v>1</v>
      </c>
      <c r="R24" s="317">
        <f t="shared" si="1"/>
        <v>566.28599999999994</v>
      </c>
      <c r="T24" s="317">
        <f t="shared" si="2"/>
        <v>0</v>
      </c>
    </row>
    <row r="25" spans="2:22" s="336" customFormat="1" ht="21.75" customHeight="1">
      <c r="B25" s="65">
        <v>20</v>
      </c>
      <c r="C25" s="337" t="s">
        <v>146</v>
      </c>
      <c r="D25" s="338" t="s">
        <v>147</v>
      </c>
      <c r="E25" s="66" t="s">
        <v>273</v>
      </c>
      <c r="F25" s="275">
        <v>76</v>
      </c>
      <c r="G25" s="456">
        <v>2.496</v>
      </c>
      <c r="H25" s="289">
        <f t="shared" si="4"/>
        <v>189.696</v>
      </c>
      <c r="I25" s="335"/>
      <c r="J25" s="308">
        <v>0</v>
      </c>
      <c r="K25" s="308">
        <v>0</v>
      </c>
      <c r="L25" s="308">
        <f>57+19</f>
        <v>76</v>
      </c>
      <c r="M25" s="308">
        <v>0</v>
      </c>
      <c r="N25" s="308">
        <v>0</v>
      </c>
      <c r="O25" s="309">
        <v>0</v>
      </c>
      <c r="P25" s="373">
        <f>SUM(J25:O25)-O25</f>
        <v>76</v>
      </c>
      <c r="Q25" s="158">
        <f t="shared" si="0"/>
        <v>1</v>
      </c>
      <c r="R25" s="317">
        <f t="shared" si="1"/>
        <v>189.696</v>
      </c>
      <c r="T25" s="317">
        <f t="shared" si="2"/>
        <v>0</v>
      </c>
    </row>
    <row r="26" spans="2:22" s="336" customFormat="1" ht="21.75" customHeight="1">
      <c r="B26" s="65">
        <v>21</v>
      </c>
      <c r="C26" s="337" t="s">
        <v>148</v>
      </c>
      <c r="D26" s="338" t="s">
        <v>149</v>
      </c>
      <c r="E26" s="66" t="s">
        <v>273</v>
      </c>
      <c r="F26" s="275">
        <v>1020</v>
      </c>
      <c r="G26" s="456">
        <v>3.589</v>
      </c>
      <c r="H26" s="289">
        <f t="shared" si="4"/>
        <v>3660.7799999999997</v>
      </c>
      <c r="I26" s="335"/>
      <c r="J26" s="308">
        <v>0</v>
      </c>
      <c r="K26" s="308">
        <v>0</v>
      </c>
      <c r="L26" s="308">
        <f>540+381</f>
        <v>921</v>
      </c>
      <c r="M26" s="308">
        <v>99</v>
      </c>
      <c r="N26" s="308">
        <v>0</v>
      </c>
      <c r="O26" s="309">
        <v>0</v>
      </c>
      <c r="P26" s="373">
        <f>SUM(J26:O26)-O26</f>
        <v>1020</v>
      </c>
      <c r="Q26" s="158">
        <f t="shared" si="0"/>
        <v>1</v>
      </c>
      <c r="R26" s="317">
        <f t="shared" si="1"/>
        <v>3660.7799999999997</v>
      </c>
      <c r="T26" s="317">
        <f t="shared" si="2"/>
        <v>0</v>
      </c>
    </row>
    <row r="27" spans="2:22" s="336" customFormat="1" ht="21.75" customHeight="1">
      <c r="B27" s="65">
        <v>22</v>
      </c>
      <c r="C27" s="337" t="s">
        <v>150</v>
      </c>
      <c r="D27" s="338" t="s">
        <v>151</v>
      </c>
      <c r="E27" s="66" t="s">
        <v>273</v>
      </c>
      <c r="F27" s="275">
        <v>133.5</v>
      </c>
      <c r="G27" s="456">
        <v>4.7370000000000001</v>
      </c>
      <c r="H27" s="289">
        <f t="shared" si="4"/>
        <v>632.3895</v>
      </c>
      <c r="I27" s="335"/>
      <c r="J27" s="308">
        <v>0</v>
      </c>
      <c r="K27" s="308">
        <v>0</v>
      </c>
      <c r="L27" s="308">
        <v>45</v>
      </c>
      <c r="M27" s="308">
        <v>88.5</v>
      </c>
      <c r="N27" s="308">
        <v>0</v>
      </c>
      <c r="O27" s="309">
        <v>0</v>
      </c>
      <c r="P27" s="307">
        <f t="shared" si="3"/>
        <v>133.5</v>
      </c>
      <c r="Q27" s="158">
        <f t="shared" si="0"/>
        <v>1</v>
      </c>
      <c r="R27" s="317">
        <f t="shared" si="1"/>
        <v>632.3895</v>
      </c>
      <c r="T27" s="317">
        <f t="shared" si="2"/>
        <v>0</v>
      </c>
    </row>
    <row r="28" spans="2:22" s="336" customFormat="1" ht="21.75" customHeight="1">
      <c r="B28" s="65">
        <v>23</v>
      </c>
      <c r="C28" s="337" t="s">
        <v>152</v>
      </c>
      <c r="D28" s="338" t="s">
        <v>153</v>
      </c>
      <c r="E28" s="66" t="s">
        <v>273</v>
      </c>
      <c r="F28" s="275">
        <v>68.5</v>
      </c>
      <c r="G28" s="456">
        <v>5.9560000000000004</v>
      </c>
      <c r="H28" s="289">
        <f t="shared" si="4"/>
        <v>407.98600000000005</v>
      </c>
      <c r="I28" s="335"/>
      <c r="J28" s="308">
        <v>0</v>
      </c>
      <c r="K28" s="308">
        <v>0</v>
      </c>
      <c r="L28" s="308">
        <v>0</v>
      </c>
      <c r="M28" s="308">
        <v>68.5</v>
      </c>
      <c r="N28" s="308">
        <v>0</v>
      </c>
      <c r="O28" s="309">
        <v>0</v>
      </c>
      <c r="P28" s="307">
        <f t="shared" si="3"/>
        <v>68.5</v>
      </c>
      <c r="Q28" s="158">
        <f t="shared" si="0"/>
        <v>1</v>
      </c>
      <c r="R28" s="317">
        <f t="shared" si="1"/>
        <v>407.98600000000005</v>
      </c>
      <c r="T28" s="317">
        <f t="shared" si="2"/>
        <v>0</v>
      </c>
    </row>
    <row r="29" spans="2:22" s="336" customFormat="1" ht="21.75" customHeight="1">
      <c r="B29" s="65">
        <v>24</v>
      </c>
      <c r="C29" s="340" t="s">
        <v>43</v>
      </c>
      <c r="D29" s="341" t="s">
        <v>154</v>
      </c>
      <c r="E29" s="66" t="s">
        <v>273</v>
      </c>
      <c r="F29" s="277">
        <v>132</v>
      </c>
      <c r="G29" s="457">
        <v>3.484</v>
      </c>
      <c r="H29" s="289">
        <f t="shared" si="4"/>
        <v>459.88799999999998</v>
      </c>
      <c r="I29" s="335"/>
      <c r="J29" s="309">
        <v>132</v>
      </c>
      <c r="K29" s="308">
        <v>0</v>
      </c>
      <c r="L29" s="308">
        <v>0</v>
      </c>
      <c r="M29" s="308">
        <v>0</v>
      </c>
      <c r="N29" s="308">
        <v>0</v>
      </c>
      <c r="O29" s="309">
        <v>0</v>
      </c>
      <c r="P29" s="307">
        <f t="shared" si="3"/>
        <v>132</v>
      </c>
      <c r="Q29" s="158">
        <f t="shared" si="0"/>
        <v>1</v>
      </c>
      <c r="R29" s="317">
        <f t="shared" si="1"/>
        <v>459.88799999999998</v>
      </c>
      <c r="T29" s="317">
        <f t="shared" si="2"/>
        <v>0</v>
      </c>
    </row>
    <row r="30" spans="2:22" s="336" customFormat="1" ht="21.75" customHeight="1">
      <c r="B30" s="65">
        <v>25</v>
      </c>
      <c r="C30" s="337" t="s">
        <v>155</v>
      </c>
      <c r="D30" s="338" t="s">
        <v>156</v>
      </c>
      <c r="E30" s="66" t="s">
        <v>273</v>
      </c>
      <c r="F30" s="276">
        <v>1479.5</v>
      </c>
      <c r="G30" s="456">
        <v>4.88</v>
      </c>
      <c r="H30" s="289">
        <f t="shared" si="4"/>
        <v>7219.96</v>
      </c>
      <c r="I30" s="335"/>
      <c r="J30" s="308">
        <v>0</v>
      </c>
      <c r="K30" s="308">
        <v>0</v>
      </c>
      <c r="L30" s="308">
        <v>0</v>
      </c>
      <c r="M30" s="308">
        <f>354+285+139.5+220.5+102+139.5+189+50</f>
        <v>1479.5</v>
      </c>
      <c r="N30" s="308">
        <v>0</v>
      </c>
      <c r="O30" s="309">
        <v>0</v>
      </c>
      <c r="P30" s="373">
        <f>SUM(J30:O30)-O30</f>
        <v>1479.5</v>
      </c>
      <c r="Q30" s="158">
        <f t="shared" si="0"/>
        <v>1</v>
      </c>
      <c r="R30" s="317">
        <f t="shared" si="1"/>
        <v>7219.96</v>
      </c>
      <c r="T30" s="317">
        <f t="shared" si="2"/>
        <v>0</v>
      </c>
    </row>
    <row r="31" spans="2:22" s="336" customFormat="1" ht="21.75" customHeight="1">
      <c r="B31" s="380">
        <v>26</v>
      </c>
      <c r="C31" s="337" t="s">
        <v>56</v>
      </c>
      <c r="D31" s="338" t="s">
        <v>157</v>
      </c>
      <c r="E31" s="66" t="s">
        <v>273</v>
      </c>
      <c r="F31" s="410">
        <f>48.5+128</f>
        <v>176.5</v>
      </c>
      <c r="G31" s="456">
        <v>6.3150000000000004</v>
      </c>
      <c r="H31" s="289">
        <f t="shared" si="4"/>
        <v>1114.5975000000001</v>
      </c>
      <c r="I31" s="335"/>
      <c r="J31" s="411">
        <v>48.5</v>
      </c>
      <c r="K31" s="308">
        <v>0</v>
      </c>
      <c r="L31" s="411">
        <v>128</v>
      </c>
      <c r="M31" s="308">
        <v>0</v>
      </c>
      <c r="N31" s="308">
        <v>0</v>
      </c>
      <c r="O31" s="309">
        <v>0</v>
      </c>
      <c r="P31" s="307">
        <f t="shared" si="3"/>
        <v>176.5</v>
      </c>
      <c r="Q31" s="158">
        <f t="shared" si="0"/>
        <v>1</v>
      </c>
      <c r="R31" s="317">
        <f t="shared" si="1"/>
        <v>1114.5975000000001</v>
      </c>
      <c r="T31" s="317">
        <f t="shared" si="2"/>
        <v>0</v>
      </c>
    </row>
    <row r="32" spans="2:22" s="336" customFormat="1" ht="21.75" customHeight="1">
      <c r="B32" s="65">
        <v>27</v>
      </c>
      <c r="C32" s="337" t="s">
        <v>29</v>
      </c>
      <c r="D32" s="338" t="s">
        <v>158</v>
      </c>
      <c r="E32" s="66" t="s">
        <v>273</v>
      </c>
      <c r="F32" s="276">
        <v>371</v>
      </c>
      <c r="G32" s="456">
        <v>7.8220000000000001</v>
      </c>
      <c r="H32" s="289">
        <f t="shared" si="4"/>
        <v>2901.962</v>
      </c>
      <c r="I32" s="335"/>
      <c r="J32" s="308">
        <v>371</v>
      </c>
      <c r="K32" s="308">
        <v>0</v>
      </c>
      <c r="L32" s="308">
        <v>0</v>
      </c>
      <c r="M32" s="308">
        <v>0</v>
      </c>
      <c r="N32" s="308">
        <v>0</v>
      </c>
      <c r="O32" s="309">
        <v>0</v>
      </c>
      <c r="P32" s="307">
        <f t="shared" si="3"/>
        <v>371</v>
      </c>
      <c r="Q32" s="158">
        <f t="shared" si="0"/>
        <v>1</v>
      </c>
      <c r="R32" s="317">
        <f t="shared" si="1"/>
        <v>2901.962</v>
      </c>
      <c r="T32" s="317">
        <f t="shared" si="2"/>
        <v>0</v>
      </c>
    </row>
    <row r="33" spans="2:22" s="336" customFormat="1" ht="21.75" customHeight="1">
      <c r="B33" s="65">
        <v>28</v>
      </c>
      <c r="C33" s="337" t="s">
        <v>77</v>
      </c>
      <c r="D33" s="338" t="s">
        <v>159</v>
      </c>
      <c r="E33" s="66" t="s">
        <v>273</v>
      </c>
      <c r="F33" s="276">
        <v>440</v>
      </c>
      <c r="G33" s="456">
        <v>9.8320000000000007</v>
      </c>
      <c r="H33" s="289">
        <f t="shared" si="4"/>
        <v>4326.08</v>
      </c>
      <c r="I33" s="335"/>
      <c r="J33" s="308">
        <v>430</v>
      </c>
      <c r="K33" s="308">
        <v>0</v>
      </c>
      <c r="L33" s="308">
        <v>0</v>
      </c>
      <c r="M33" s="308">
        <v>10</v>
      </c>
      <c r="N33" s="308">
        <v>0</v>
      </c>
      <c r="O33" s="309">
        <v>0</v>
      </c>
      <c r="P33" s="307">
        <f t="shared" si="3"/>
        <v>440</v>
      </c>
      <c r="Q33" s="158">
        <f t="shared" si="0"/>
        <v>1</v>
      </c>
      <c r="R33" s="317">
        <f t="shared" si="1"/>
        <v>4326.08</v>
      </c>
      <c r="T33" s="317">
        <f t="shared" si="2"/>
        <v>0</v>
      </c>
    </row>
    <row r="34" spans="2:22" s="336" customFormat="1" ht="21.75" customHeight="1">
      <c r="B34" s="380">
        <v>29</v>
      </c>
      <c r="C34" s="342" t="s">
        <v>160</v>
      </c>
      <c r="D34" s="338" t="s">
        <v>161</v>
      </c>
      <c r="E34" s="66" t="s">
        <v>273</v>
      </c>
      <c r="F34" s="410">
        <f>128-128</f>
        <v>0</v>
      </c>
      <c r="G34" s="456">
        <v>6.3150000000000004</v>
      </c>
      <c r="H34" s="289">
        <f t="shared" si="4"/>
        <v>0</v>
      </c>
      <c r="I34" s="335"/>
      <c r="J34" s="308">
        <v>0</v>
      </c>
      <c r="K34" s="308">
        <v>0</v>
      </c>
      <c r="L34" s="308">
        <v>0</v>
      </c>
      <c r="M34" s="308">
        <v>0</v>
      </c>
      <c r="N34" s="308">
        <v>0</v>
      </c>
      <c r="O34" s="309">
        <v>0</v>
      </c>
      <c r="P34" s="307">
        <f t="shared" si="3"/>
        <v>0</v>
      </c>
      <c r="Q34" s="417" t="e">
        <f t="shared" si="0"/>
        <v>#DIV/0!</v>
      </c>
      <c r="R34" s="317">
        <f t="shared" si="1"/>
        <v>0</v>
      </c>
      <c r="T34" s="317">
        <f t="shared" si="2"/>
        <v>0</v>
      </c>
    </row>
    <row r="35" spans="2:22" s="436" customFormat="1" ht="21.75" customHeight="1">
      <c r="B35" s="424">
        <v>30</v>
      </c>
      <c r="C35" s="425" t="s">
        <v>186</v>
      </c>
      <c r="D35" s="426" t="s">
        <v>187</v>
      </c>
      <c r="E35" s="427" t="s">
        <v>274</v>
      </c>
      <c r="F35" s="428">
        <f>132+225.5+341</f>
        <v>698.5</v>
      </c>
      <c r="G35" s="474">
        <v>15.891999999999999</v>
      </c>
      <c r="H35" s="429">
        <f t="shared" si="4"/>
        <v>11100.562</v>
      </c>
      <c r="I35" s="430"/>
      <c r="J35" s="431">
        <v>0</v>
      </c>
      <c r="K35" s="431">
        <v>132</v>
      </c>
      <c r="L35" s="431">
        <v>0</v>
      </c>
      <c r="M35" s="432">
        <v>579</v>
      </c>
      <c r="N35" s="431">
        <v>0</v>
      </c>
      <c r="O35" s="309">
        <v>0</v>
      </c>
      <c r="P35" s="433">
        <f t="shared" si="3"/>
        <v>711</v>
      </c>
      <c r="Q35" s="434">
        <f t="shared" si="0"/>
        <v>1.0178954903364352</v>
      </c>
      <c r="R35" s="435">
        <f t="shared" si="1"/>
        <v>11299.212</v>
      </c>
      <c r="T35" s="437">
        <f t="shared" si="2"/>
        <v>-198.65</v>
      </c>
      <c r="U35" s="436">
        <f>M35*G35</f>
        <v>9201.4679999999989</v>
      </c>
    </row>
    <row r="36" spans="2:22" s="336" customFormat="1" ht="21.75" customHeight="1">
      <c r="B36" s="65">
        <v>31</v>
      </c>
      <c r="C36" s="337" t="s">
        <v>162</v>
      </c>
      <c r="D36" s="338" t="s">
        <v>163</v>
      </c>
      <c r="E36" s="66" t="s">
        <v>273</v>
      </c>
      <c r="F36" s="276">
        <v>10</v>
      </c>
      <c r="G36" s="456">
        <v>4.3390000000000004</v>
      </c>
      <c r="H36" s="289">
        <f t="shared" si="4"/>
        <v>43.39</v>
      </c>
      <c r="I36" s="335"/>
      <c r="J36" s="308">
        <v>0</v>
      </c>
      <c r="K36" s="308">
        <v>0</v>
      </c>
      <c r="L36" s="308">
        <v>10</v>
      </c>
      <c r="M36" s="308">
        <v>0</v>
      </c>
      <c r="N36" s="308">
        <v>0</v>
      </c>
      <c r="O36" s="309">
        <v>0</v>
      </c>
      <c r="P36" s="307">
        <f t="shared" si="3"/>
        <v>10</v>
      </c>
      <c r="Q36" s="158">
        <f t="shared" si="0"/>
        <v>1</v>
      </c>
      <c r="R36" s="317">
        <f t="shared" si="1"/>
        <v>43.39</v>
      </c>
      <c r="T36" s="317">
        <f t="shared" si="2"/>
        <v>0</v>
      </c>
    </row>
    <row r="37" spans="2:22" s="336" customFormat="1" ht="21.75" customHeight="1">
      <c r="B37" s="380">
        <v>32</v>
      </c>
      <c r="C37" s="337" t="s">
        <v>58</v>
      </c>
      <c r="D37" s="338" t="s">
        <v>164</v>
      </c>
      <c r="E37" s="66" t="s">
        <v>273</v>
      </c>
      <c r="F37" s="410">
        <f>178.5+187+286</f>
        <v>651.5</v>
      </c>
      <c r="G37" s="456">
        <v>7.7510000000000003</v>
      </c>
      <c r="H37" s="289">
        <f t="shared" si="4"/>
        <v>5049.7764999999999</v>
      </c>
      <c r="I37" s="335"/>
      <c r="J37" s="411">
        <v>84</v>
      </c>
      <c r="K37" s="308">
        <v>0</v>
      </c>
      <c r="L37" s="411">
        <f>20+84+34.5</f>
        <v>138.5</v>
      </c>
      <c r="M37" s="411">
        <v>143</v>
      </c>
      <c r="N37" s="364">
        <f>'Packing List Items'!R155+'Packing List Items'!R157+'Packing List Items'!R165</f>
        <v>300</v>
      </c>
      <c r="O37" s="309">
        <v>0</v>
      </c>
      <c r="P37" s="307">
        <f t="shared" si="3"/>
        <v>665.5</v>
      </c>
      <c r="Q37" s="271">
        <f t="shared" si="0"/>
        <v>1.0214888718342288</v>
      </c>
      <c r="R37" s="317">
        <f t="shared" si="1"/>
        <v>5158.2905000000001</v>
      </c>
      <c r="T37" s="365">
        <f t="shared" si="2"/>
        <v>-108.51400000000001</v>
      </c>
      <c r="U37" s="336">
        <f>N37*G37</f>
        <v>2325.3000000000002</v>
      </c>
      <c r="V37" s="409">
        <f>T37+U37</f>
        <v>2216.7860000000001</v>
      </c>
    </row>
    <row r="38" spans="2:22" s="336" customFormat="1" ht="21.75" customHeight="1">
      <c r="B38" s="65">
        <v>33</v>
      </c>
      <c r="C38" s="337" t="s">
        <v>165</v>
      </c>
      <c r="D38" s="338" t="s">
        <v>166</v>
      </c>
      <c r="E38" s="66" t="s">
        <v>273</v>
      </c>
      <c r="F38" s="276">
        <v>348</v>
      </c>
      <c r="G38" s="456">
        <v>9.4719999999999995</v>
      </c>
      <c r="H38" s="289">
        <f t="shared" si="4"/>
        <v>3296.2559999999999</v>
      </c>
      <c r="I38" s="335"/>
      <c r="J38" s="308">
        <v>0</v>
      </c>
      <c r="K38" s="308">
        <v>0</v>
      </c>
      <c r="L38" s="308">
        <v>0</v>
      </c>
      <c r="M38" s="308">
        <f>146+100+102</f>
        <v>348</v>
      </c>
      <c r="N38" s="308">
        <v>0</v>
      </c>
      <c r="O38" s="309">
        <v>0</v>
      </c>
      <c r="P38" s="307">
        <f t="shared" si="3"/>
        <v>348</v>
      </c>
      <c r="Q38" s="158">
        <f t="shared" ref="Q38:Q69" si="5">P38/F38</f>
        <v>1</v>
      </c>
      <c r="R38" s="317">
        <f t="shared" ref="R38:R69" si="6">P38*G38</f>
        <v>3296.2559999999999</v>
      </c>
      <c r="T38" s="317">
        <f t="shared" ref="T38:T69" si="7">(F38-P38)*G38</f>
        <v>0</v>
      </c>
    </row>
    <row r="39" spans="2:22" s="336" customFormat="1" ht="21.75" customHeight="1">
      <c r="B39" s="65">
        <v>34</v>
      </c>
      <c r="C39" s="337" t="s">
        <v>167</v>
      </c>
      <c r="D39" s="338" t="s">
        <v>168</v>
      </c>
      <c r="E39" s="66" t="s">
        <v>273</v>
      </c>
      <c r="F39" s="275">
        <v>238</v>
      </c>
      <c r="G39" s="456">
        <v>11.553000000000001</v>
      </c>
      <c r="H39" s="289">
        <f t="shared" si="4"/>
        <v>2749.614</v>
      </c>
      <c r="I39" s="335"/>
      <c r="J39" s="308">
        <v>0</v>
      </c>
      <c r="K39" s="308">
        <v>0</v>
      </c>
      <c r="L39" s="308">
        <v>0</v>
      </c>
      <c r="M39" s="308">
        <f>160+78</f>
        <v>238</v>
      </c>
      <c r="N39" s="308">
        <v>0</v>
      </c>
      <c r="O39" s="309">
        <v>0</v>
      </c>
      <c r="P39" s="307">
        <f t="shared" si="3"/>
        <v>238</v>
      </c>
      <c r="Q39" s="158">
        <f t="shared" si="5"/>
        <v>1</v>
      </c>
      <c r="R39" s="317">
        <f t="shared" si="6"/>
        <v>2749.614</v>
      </c>
      <c r="T39" s="317">
        <f t="shared" si="7"/>
        <v>0</v>
      </c>
    </row>
    <row r="40" spans="2:22" s="336" customFormat="1" ht="21.75" customHeight="1">
      <c r="B40" s="380">
        <v>35</v>
      </c>
      <c r="C40" s="342" t="s">
        <v>169</v>
      </c>
      <c r="D40" s="338" t="s">
        <v>170</v>
      </c>
      <c r="E40" s="66" t="s">
        <v>273</v>
      </c>
      <c r="F40" s="410">
        <f>187-187</f>
        <v>0</v>
      </c>
      <c r="G40" s="456">
        <v>7.7510000000000003</v>
      </c>
      <c r="H40" s="289">
        <f t="shared" si="4"/>
        <v>0</v>
      </c>
      <c r="I40" s="335"/>
      <c r="J40" s="308">
        <v>0</v>
      </c>
      <c r="K40" s="308">
        <v>0</v>
      </c>
      <c r="L40" s="308">
        <v>0</v>
      </c>
      <c r="M40" s="308">
        <v>0</v>
      </c>
      <c r="N40" s="308">
        <v>0</v>
      </c>
      <c r="O40" s="309">
        <v>0</v>
      </c>
      <c r="P40" s="307">
        <f t="shared" si="3"/>
        <v>0</v>
      </c>
      <c r="Q40" s="417" t="e">
        <f t="shared" si="5"/>
        <v>#DIV/0!</v>
      </c>
      <c r="R40" s="317">
        <f t="shared" si="6"/>
        <v>0</v>
      </c>
      <c r="T40" s="317">
        <f t="shared" si="7"/>
        <v>0</v>
      </c>
    </row>
    <row r="41" spans="2:22" s="336" customFormat="1" ht="21.75" customHeight="1">
      <c r="B41" s="65">
        <v>36</v>
      </c>
      <c r="C41" s="337" t="s">
        <v>186</v>
      </c>
      <c r="D41" s="338" t="s">
        <v>187</v>
      </c>
      <c r="E41" s="66" t="s">
        <v>274</v>
      </c>
      <c r="F41" s="276">
        <v>223</v>
      </c>
      <c r="G41" s="456">
        <v>15.891999999999999</v>
      </c>
      <c r="H41" s="289">
        <f t="shared" si="4"/>
        <v>3543.9159999999997</v>
      </c>
      <c r="I41" s="335"/>
      <c r="J41" s="308">
        <v>0</v>
      </c>
      <c r="K41" s="308">
        <v>223</v>
      </c>
      <c r="L41" s="308">
        <v>0</v>
      </c>
      <c r="M41" s="308">
        <v>0</v>
      </c>
      <c r="N41" s="308">
        <v>0</v>
      </c>
      <c r="O41" s="309">
        <v>0</v>
      </c>
      <c r="P41" s="307">
        <f t="shared" si="3"/>
        <v>223</v>
      </c>
      <c r="Q41" s="158">
        <f t="shared" si="5"/>
        <v>1</v>
      </c>
      <c r="R41" s="317">
        <f t="shared" si="6"/>
        <v>3543.9159999999997</v>
      </c>
      <c r="T41" s="317">
        <f t="shared" si="7"/>
        <v>0</v>
      </c>
    </row>
    <row r="42" spans="2:22" s="336" customFormat="1" ht="21.75" customHeight="1">
      <c r="B42" s="65">
        <v>37</v>
      </c>
      <c r="C42" s="337" t="s">
        <v>171</v>
      </c>
      <c r="D42" s="338" t="s">
        <v>172</v>
      </c>
      <c r="E42" s="66" t="s">
        <v>273</v>
      </c>
      <c r="F42" s="276">
        <f>3.504</f>
        <v>3.504</v>
      </c>
      <c r="G42" s="456">
        <v>5.1340000000000003</v>
      </c>
      <c r="H42" s="289">
        <f t="shared" si="4"/>
        <v>17.989536000000001</v>
      </c>
      <c r="I42" s="335"/>
      <c r="J42" s="308">
        <v>0</v>
      </c>
      <c r="K42" s="308">
        <v>0</v>
      </c>
      <c r="L42" s="308">
        <v>0</v>
      </c>
      <c r="M42" s="308">
        <v>40</v>
      </c>
      <c r="N42" s="308">
        <v>0</v>
      </c>
      <c r="O42" s="309">
        <v>0</v>
      </c>
      <c r="P42" s="307">
        <f t="shared" si="3"/>
        <v>40</v>
      </c>
      <c r="Q42" s="158">
        <f t="shared" si="5"/>
        <v>11.415525114155251</v>
      </c>
      <c r="R42" s="317">
        <f t="shared" si="6"/>
        <v>205.36</v>
      </c>
      <c r="T42" s="317">
        <f t="shared" si="7"/>
        <v>-187.37046400000003</v>
      </c>
    </row>
    <row r="43" spans="2:22" s="336" customFormat="1" ht="21.75" customHeight="1">
      <c r="B43" s="65">
        <v>38</v>
      </c>
      <c r="C43" s="337" t="s">
        <v>173</v>
      </c>
      <c r="D43" s="338" t="s">
        <v>174</v>
      </c>
      <c r="E43" s="66" t="s">
        <v>273</v>
      </c>
      <c r="F43" s="414">
        <f>102.5+241+177.5</f>
        <v>521</v>
      </c>
      <c r="G43" s="456">
        <v>9.3290000000000006</v>
      </c>
      <c r="H43" s="289">
        <f t="shared" si="4"/>
        <v>4860.4090000000006</v>
      </c>
      <c r="I43" s="335"/>
      <c r="J43" s="308">
        <v>0</v>
      </c>
      <c r="K43" s="308">
        <v>0</v>
      </c>
      <c r="L43" s="308">
        <v>0</v>
      </c>
      <c r="M43" s="416">
        <f>29+39+86+120+150+97</f>
        <v>521</v>
      </c>
      <c r="N43" s="308">
        <v>0</v>
      </c>
      <c r="O43" s="309">
        <v>0</v>
      </c>
      <c r="P43" s="307">
        <f t="shared" si="3"/>
        <v>521</v>
      </c>
      <c r="Q43" s="158">
        <f t="shared" si="5"/>
        <v>1</v>
      </c>
      <c r="R43" s="317">
        <f t="shared" si="6"/>
        <v>4860.4090000000006</v>
      </c>
      <c r="T43" s="317">
        <f t="shared" si="7"/>
        <v>0</v>
      </c>
    </row>
    <row r="44" spans="2:22" s="336" customFormat="1" ht="21.75" customHeight="1">
      <c r="B44" s="65">
        <v>39</v>
      </c>
      <c r="C44" s="337" t="s">
        <v>175</v>
      </c>
      <c r="D44" s="338" t="s">
        <v>176</v>
      </c>
      <c r="E44" s="66" t="s">
        <v>273</v>
      </c>
      <c r="F44" s="276">
        <v>573.5</v>
      </c>
      <c r="G44" s="456">
        <v>11.266999999999999</v>
      </c>
      <c r="H44" s="289">
        <f t="shared" si="4"/>
        <v>6461.6244999999999</v>
      </c>
      <c r="I44" s="335"/>
      <c r="J44" s="308">
        <v>0</v>
      </c>
      <c r="K44" s="308">
        <v>155</v>
      </c>
      <c r="L44" s="308">
        <v>0</v>
      </c>
      <c r="M44" s="308">
        <f>37+14+77+170+40+29.5+50.5+0.5</f>
        <v>418.5</v>
      </c>
      <c r="N44" s="308">
        <v>0</v>
      </c>
      <c r="O44" s="309">
        <v>0</v>
      </c>
      <c r="P44" s="307">
        <f t="shared" si="3"/>
        <v>573.5</v>
      </c>
      <c r="Q44" s="158">
        <f t="shared" si="5"/>
        <v>1</v>
      </c>
      <c r="R44" s="317">
        <f t="shared" si="6"/>
        <v>6461.6244999999999</v>
      </c>
      <c r="T44" s="317">
        <f t="shared" si="7"/>
        <v>0</v>
      </c>
    </row>
    <row r="45" spans="2:22" s="336" customFormat="1" ht="21.75" customHeight="1">
      <c r="B45" s="65">
        <v>40</v>
      </c>
      <c r="C45" s="337" t="s">
        <v>71</v>
      </c>
      <c r="D45" s="338" t="s">
        <v>177</v>
      </c>
      <c r="E45" s="66" t="s">
        <v>273</v>
      </c>
      <c r="F45" s="275">
        <v>216</v>
      </c>
      <c r="G45" s="456">
        <v>13.634</v>
      </c>
      <c r="H45" s="289">
        <f t="shared" si="4"/>
        <v>2944.944</v>
      </c>
      <c r="I45" s="335"/>
      <c r="J45" s="308">
        <v>216</v>
      </c>
      <c r="K45" s="308">
        <v>0</v>
      </c>
      <c r="L45" s="308">
        <v>0</v>
      </c>
      <c r="M45" s="308">
        <v>0</v>
      </c>
      <c r="N45" s="308">
        <v>0</v>
      </c>
      <c r="O45" s="309">
        <v>0</v>
      </c>
      <c r="P45" s="307">
        <f t="shared" si="3"/>
        <v>216</v>
      </c>
      <c r="Q45" s="158">
        <f t="shared" si="5"/>
        <v>1</v>
      </c>
      <c r="R45" s="317">
        <f t="shared" si="6"/>
        <v>2944.944</v>
      </c>
      <c r="T45" s="317">
        <f t="shared" si="7"/>
        <v>0</v>
      </c>
    </row>
    <row r="46" spans="2:22" s="336" customFormat="1" ht="21.75" customHeight="1">
      <c r="B46" s="65">
        <v>41</v>
      </c>
      <c r="C46" s="343" t="s">
        <v>178</v>
      </c>
      <c r="D46" s="344" t="s">
        <v>179</v>
      </c>
      <c r="E46" s="66" t="s">
        <v>273</v>
      </c>
      <c r="F46" s="415">
        <f>241-241</f>
        <v>0</v>
      </c>
      <c r="G46" s="458">
        <v>9.3290000000000006</v>
      </c>
      <c r="H46" s="289">
        <f t="shared" si="4"/>
        <v>0</v>
      </c>
      <c r="I46" s="335"/>
      <c r="J46" s="310">
        <v>0</v>
      </c>
      <c r="K46" s="308">
        <v>0</v>
      </c>
      <c r="L46" s="308">
        <v>0</v>
      </c>
      <c r="M46" s="308">
        <v>0</v>
      </c>
      <c r="N46" s="308">
        <v>0</v>
      </c>
      <c r="O46" s="309">
        <v>0</v>
      </c>
      <c r="P46" s="307">
        <f t="shared" si="3"/>
        <v>0</v>
      </c>
      <c r="Q46" s="417" t="e">
        <f t="shared" si="5"/>
        <v>#DIV/0!</v>
      </c>
      <c r="R46" s="317">
        <f t="shared" si="6"/>
        <v>0</v>
      </c>
      <c r="T46" s="317">
        <f t="shared" si="7"/>
        <v>0</v>
      </c>
    </row>
    <row r="47" spans="2:22" s="436" customFormat="1" ht="21.75" customHeight="1">
      <c r="B47" s="424">
        <v>42</v>
      </c>
      <c r="C47" s="438" t="s">
        <v>186</v>
      </c>
      <c r="D47" s="439" t="s">
        <v>187</v>
      </c>
      <c r="E47" s="427" t="s">
        <v>274</v>
      </c>
      <c r="F47" s="440">
        <f>328</f>
        <v>328</v>
      </c>
      <c r="G47" s="475">
        <v>15.891999999999999</v>
      </c>
      <c r="H47" s="429">
        <f t="shared" si="4"/>
        <v>5212.576</v>
      </c>
      <c r="I47" s="430"/>
      <c r="J47" s="441">
        <v>0</v>
      </c>
      <c r="K47" s="441">
        <v>328</v>
      </c>
      <c r="L47" s="441">
        <v>0</v>
      </c>
      <c r="M47" s="442">
        <v>24</v>
      </c>
      <c r="N47" s="431">
        <v>0</v>
      </c>
      <c r="O47" s="309">
        <v>0</v>
      </c>
      <c r="P47" s="433">
        <f t="shared" si="3"/>
        <v>352</v>
      </c>
      <c r="Q47" s="434">
        <f t="shared" si="5"/>
        <v>1.0731707317073171</v>
      </c>
      <c r="R47" s="435">
        <f t="shared" si="6"/>
        <v>5593.9839999999995</v>
      </c>
      <c r="T47" s="437">
        <f t="shared" si="7"/>
        <v>-381.40800000000002</v>
      </c>
    </row>
    <row r="48" spans="2:22" s="336" customFormat="1" ht="21.75" customHeight="1">
      <c r="B48" s="65">
        <v>43</v>
      </c>
      <c r="C48" s="343" t="s">
        <v>180</v>
      </c>
      <c r="D48" s="344" t="s">
        <v>181</v>
      </c>
      <c r="E48" s="66" t="s">
        <v>273</v>
      </c>
      <c r="F48" s="415">
        <f>177.5-177.5</f>
        <v>0</v>
      </c>
      <c r="G48" s="458">
        <v>9.3290000000000006</v>
      </c>
      <c r="H48" s="289">
        <f t="shared" si="4"/>
        <v>0</v>
      </c>
      <c r="I48" s="335"/>
      <c r="J48" s="310">
        <v>0</v>
      </c>
      <c r="K48" s="308">
        <v>0</v>
      </c>
      <c r="L48" s="308">
        <v>0</v>
      </c>
      <c r="M48" s="308">
        <v>0</v>
      </c>
      <c r="N48" s="308">
        <v>0</v>
      </c>
      <c r="O48" s="309">
        <v>0</v>
      </c>
      <c r="P48" s="307">
        <f t="shared" si="3"/>
        <v>0</v>
      </c>
      <c r="Q48" s="417" t="e">
        <f t="shared" si="5"/>
        <v>#DIV/0!</v>
      </c>
      <c r="R48" s="317">
        <f t="shared" si="6"/>
        <v>0</v>
      </c>
      <c r="T48" s="317">
        <f t="shared" si="7"/>
        <v>0</v>
      </c>
    </row>
    <row r="49" spans="2:22" s="336" customFormat="1" ht="21.75" customHeight="1">
      <c r="B49" s="65">
        <v>44</v>
      </c>
      <c r="C49" s="345" t="s">
        <v>290</v>
      </c>
      <c r="D49" s="344" t="s">
        <v>231</v>
      </c>
      <c r="E49" s="66" t="s">
        <v>274</v>
      </c>
      <c r="F49" s="278">
        <v>253</v>
      </c>
      <c r="G49" s="458">
        <v>16.7</v>
      </c>
      <c r="H49" s="289">
        <f t="shared" si="4"/>
        <v>4225.0999999999995</v>
      </c>
      <c r="I49" s="335"/>
      <c r="J49" s="310">
        <v>0</v>
      </c>
      <c r="K49" s="310">
        <v>253</v>
      </c>
      <c r="L49" s="310">
        <v>0</v>
      </c>
      <c r="M49" s="310">
        <v>0</v>
      </c>
      <c r="N49" s="364">
        <f>'Packing List Items'!R148+'Packing List Items'!R147-0.08</f>
        <v>699.99999999999989</v>
      </c>
      <c r="O49" s="309">
        <v>0</v>
      </c>
      <c r="P49" s="307">
        <f t="shared" si="3"/>
        <v>952.99999999999989</v>
      </c>
      <c r="Q49" s="271">
        <f t="shared" si="5"/>
        <v>3.7667984189723316</v>
      </c>
      <c r="R49" s="317">
        <f t="shared" si="6"/>
        <v>15915.099999999997</v>
      </c>
      <c r="T49" s="365">
        <f t="shared" si="7"/>
        <v>-11689.999999999998</v>
      </c>
      <c r="U49" s="336">
        <f>N49*G49</f>
        <v>11689.999999999998</v>
      </c>
      <c r="V49" s="409">
        <f>T49+U49</f>
        <v>0</v>
      </c>
    </row>
    <row r="50" spans="2:22" s="336" customFormat="1" ht="21.75" customHeight="1">
      <c r="B50" s="65">
        <v>45</v>
      </c>
      <c r="C50" s="345" t="s">
        <v>182</v>
      </c>
      <c r="D50" s="344" t="s">
        <v>183</v>
      </c>
      <c r="E50" s="66" t="s">
        <v>273</v>
      </c>
      <c r="F50" s="278">
        <v>1.1000000000000001</v>
      </c>
      <c r="G50" s="458">
        <v>10.888</v>
      </c>
      <c r="H50" s="289">
        <f t="shared" si="4"/>
        <v>11.976800000000001</v>
      </c>
      <c r="I50" s="335"/>
      <c r="J50" s="310">
        <v>0</v>
      </c>
      <c r="K50" s="310">
        <v>1.1000000000000001</v>
      </c>
      <c r="L50" s="310">
        <v>0</v>
      </c>
      <c r="M50" s="310">
        <v>0</v>
      </c>
      <c r="N50" s="308">
        <v>0</v>
      </c>
      <c r="O50" s="309">
        <v>0</v>
      </c>
      <c r="P50" s="307">
        <f t="shared" si="3"/>
        <v>1.1000000000000001</v>
      </c>
      <c r="Q50" s="158">
        <f t="shared" si="5"/>
        <v>1</v>
      </c>
      <c r="R50" s="317">
        <f t="shared" si="6"/>
        <v>11.976800000000001</v>
      </c>
      <c r="T50" s="317">
        <f t="shared" si="7"/>
        <v>0</v>
      </c>
    </row>
    <row r="51" spans="2:22" s="336" customFormat="1" ht="21.75" customHeight="1">
      <c r="B51" s="65">
        <v>46</v>
      </c>
      <c r="C51" s="345" t="s">
        <v>184</v>
      </c>
      <c r="D51" s="344" t="s">
        <v>185</v>
      </c>
      <c r="E51" s="66" t="s">
        <v>273</v>
      </c>
      <c r="F51" s="278">
        <v>5.5</v>
      </c>
      <c r="G51" s="458">
        <v>7.8010000000000002</v>
      </c>
      <c r="H51" s="289">
        <f t="shared" si="4"/>
        <v>42.905500000000004</v>
      </c>
      <c r="I51" s="335"/>
      <c r="J51" s="310">
        <v>0</v>
      </c>
      <c r="K51" s="310">
        <v>5.5</v>
      </c>
      <c r="L51" s="310">
        <v>0</v>
      </c>
      <c r="M51" s="310">
        <v>0</v>
      </c>
      <c r="N51" s="308">
        <v>0</v>
      </c>
      <c r="O51" s="309">
        <v>0</v>
      </c>
      <c r="P51" s="307">
        <f t="shared" si="3"/>
        <v>5.5</v>
      </c>
      <c r="Q51" s="158">
        <f t="shared" si="5"/>
        <v>1</v>
      </c>
      <c r="R51" s="317">
        <f t="shared" si="6"/>
        <v>42.905500000000004</v>
      </c>
      <c r="T51" s="317">
        <f t="shared" si="7"/>
        <v>0</v>
      </c>
    </row>
    <row r="52" spans="2:22" s="336" customFormat="1" ht="21.75" customHeight="1">
      <c r="B52" s="65">
        <v>47</v>
      </c>
      <c r="C52" s="345" t="s">
        <v>186</v>
      </c>
      <c r="D52" s="344" t="s">
        <v>187</v>
      </c>
      <c r="E52" s="66" t="s">
        <v>274</v>
      </c>
      <c r="F52" s="279">
        <v>87.78</v>
      </c>
      <c r="G52" s="458">
        <v>15.891999999999999</v>
      </c>
      <c r="H52" s="289">
        <f t="shared" si="4"/>
        <v>1394.9997599999999</v>
      </c>
      <c r="I52" s="335"/>
      <c r="J52" s="310">
        <v>0</v>
      </c>
      <c r="K52" s="310">
        <v>87.78</v>
      </c>
      <c r="L52" s="310">
        <v>0</v>
      </c>
      <c r="M52" s="310">
        <v>0</v>
      </c>
      <c r="N52" s="308">
        <v>0</v>
      </c>
      <c r="O52" s="309">
        <v>0</v>
      </c>
      <c r="P52" s="307">
        <f t="shared" si="3"/>
        <v>87.78</v>
      </c>
      <c r="Q52" s="158">
        <f t="shared" si="5"/>
        <v>1</v>
      </c>
      <c r="R52" s="317">
        <f t="shared" si="6"/>
        <v>1394.9997599999999</v>
      </c>
      <c r="T52" s="317">
        <f t="shared" si="7"/>
        <v>0</v>
      </c>
    </row>
    <row r="53" spans="2:22" s="336" customFormat="1" ht="21.75" customHeight="1">
      <c r="B53" s="380">
        <v>48</v>
      </c>
      <c r="C53" s="345" t="s">
        <v>188</v>
      </c>
      <c r="D53" s="344" t="s">
        <v>189</v>
      </c>
      <c r="E53" s="66" t="s">
        <v>274</v>
      </c>
      <c r="F53" s="412">
        <f>1007.6+229.9+220</f>
        <v>1457.5</v>
      </c>
      <c r="G53" s="458">
        <v>17.507999999999999</v>
      </c>
      <c r="H53" s="289">
        <f t="shared" si="4"/>
        <v>25517.91</v>
      </c>
      <c r="I53" s="335"/>
      <c r="J53" s="310">
        <v>0</v>
      </c>
      <c r="K53" s="413">
        <f>240+997.5</f>
        <v>1237.5</v>
      </c>
      <c r="L53" s="310">
        <v>0</v>
      </c>
      <c r="M53" s="420">
        <f>223.2+18</f>
        <v>241.2</v>
      </c>
      <c r="N53" s="308">
        <v>0</v>
      </c>
      <c r="O53" s="309">
        <v>0</v>
      </c>
      <c r="P53" s="307">
        <f t="shared" si="3"/>
        <v>1478.7</v>
      </c>
      <c r="Q53" s="271">
        <f t="shared" si="5"/>
        <v>1.0145454545454546</v>
      </c>
      <c r="R53" s="317">
        <f t="shared" si="6"/>
        <v>25889.079600000001</v>
      </c>
      <c r="T53" s="419">
        <f t="shared" si="7"/>
        <v>-371.1696000000008</v>
      </c>
    </row>
    <row r="54" spans="2:22" s="436" customFormat="1" ht="21.75" customHeight="1">
      <c r="B54" s="424">
        <v>49</v>
      </c>
      <c r="C54" s="438" t="s">
        <v>190</v>
      </c>
      <c r="D54" s="439" t="s">
        <v>191</v>
      </c>
      <c r="E54" s="427" t="s">
        <v>274</v>
      </c>
      <c r="F54" s="440">
        <f>1310.1</f>
        <v>1310.0999999999999</v>
      </c>
      <c r="G54" s="475">
        <v>18.315999999999999</v>
      </c>
      <c r="H54" s="429">
        <f t="shared" si="4"/>
        <v>23995.791599999997</v>
      </c>
      <c r="I54" s="430"/>
      <c r="J54" s="441">
        <v>0</v>
      </c>
      <c r="K54" s="441">
        <f>864+446.1</f>
        <v>1310.0999999999999</v>
      </c>
      <c r="L54" s="441">
        <v>0</v>
      </c>
      <c r="M54" s="442">
        <v>153.6</v>
      </c>
      <c r="N54" s="431">
        <v>0</v>
      </c>
      <c r="O54" s="309">
        <v>0</v>
      </c>
      <c r="P54" s="433">
        <f t="shared" si="3"/>
        <v>1463.6999999999998</v>
      </c>
      <c r="Q54" s="434">
        <f t="shared" si="5"/>
        <v>1.1172429585527821</v>
      </c>
      <c r="R54" s="435">
        <f t="shared" si="6"/>
        <v>26809.129199999996</v>
      </c>
      <c r="T54" s="437">
        <f t="shared" si="7"/>
        <v>-2813.337599999998</v>
      </c>
    </row>
    <row r="55" spans="2:22" s="336" customFormat="1" ht="21.75" customHeight="1">
      <c r="B55" s="65">
        <v>50</v>
      </c>
      <c r="C55" s="345" t="s">
        <v>192</v>
      </c>
      <c r="D55" s="344" t="s">
        <v>193</v>
      </c>
      <c r="E55" s="66" t="s">
        <v>274</v>
      </c>
      <c r="F55" s="279">
        <v>1243</v>
      </c>
      <c r="G55" s="458">
        <v>19.123999999999999</v>
      </c>
      <c r="H55" s="289">
        <f t="shared" si="4"/>
        <v>23771.131999999998</v>
      </c>
      <c r="I55" s="335"/>
      <c r="J55" s="310">
        <v>0</v>
      </c>
      <c r="K55" s="310">
        <f>100.8+307.2+187+648</f>
        <v>1243</v>
      </c>
      <c r="L55" s="310">
        <v>0</v>
      </c>
      <c r="M55" s="310">
        <v>0</v>
      </c>
      <c r="N55" s="308">
        <v>0</v>
      </c>
      <c r="O55" s="309">
        <v>0</v>
      </c>
      <c r="P55" s="307">
        <f t="shared" si="3"/>
        <v>1243</v>
      </c>
      <c r="Q55" s="158">
        <f t="shared" si="5"/>
        <v>1</v>
      </c>
      <c r="R55" s="317">
        <f t="shared" si="6"/>
        <v>23771.131999999998</v>
      </c>
      <c r="T55" s="317">
        <f t="shared" si="7"/>
        <v>0</v>
      </c>
    </row>
    <row r="56" spans="2:22" s="336" customFormat="1" ht="21.75" customHeight="1">
      <c r="B56" s="65">
        <v>51</v>
      </c>
      <c r="C56" s="345" t="s">
        <v>194</v>
      </c>
      <c r="D56" s="344" t="s">
        <v>195</v>
      </c>
      <c r="E56" s="66" t="s">
        <v>274</v>
      </c>
      <c r="F56" s="279">
        <v>403.7</v>
      </c>
      <c r="G56" s="458">
        <v>19.931999999999999</v>
      </c>
      <c r="H56" s="289">
        <f t="shared" si="4"/>
        <v>8046.5483999999988</v>
      </c>
      <c r="I56" s="335"/>
      <c r="J56" s="310">
        <v>0</v>
      </c>
      <c r="K56" s="310">
        <v>403.7</v>
      </c>
      <c r="L56" s="310">
        <v>0</v>
      </c>
      <c r="M56" s="310">
        <v>0</v>
      </c>
      <c r="N56" s="308">
        <v>0</v>
      </c>
      <c r="O56" s="309">
        <v>0</v>
      </c>
      <c r="P56" s="307">
        <f t="shared" si="3"/>
        <v>403.7</v>
      </c>
      <c r="Q56" s="158">
        <f t="shared" si="5"/>
        <v>1</v>
      </c>
      <c r="R56" s="317">
        <f t="shared" si="6"/>
        <v>8046.5483999999988</v>
      </c>
      <c r="T56" s="317">
        <f t="shared" si="7"/>
        <v>0</v>
      </c>
    </row>
    <row r="57" spans="2:22" s="336" customFormat="1" ht="21.75" customHeight="1">
      <c r="B57" s="65">
        <v>52</v>
      </c>
      <c r="C57" s="345" t="s">
        <v>196</v>
      </c>
      <c r="D57" s="344" t="s">
        <v>197</v>
      </c>
      <c r="E57" s="66" t="s">
        <v>274</v>
      </c>
      <c r="F57" s="443">
        <f>822.8+211</f>
        <v>1033.8</v>
      </c>
      <c r="G57" s="458">
        <v>20.74</v>
      </c>
      <c r="H57" s="289">
        <f t="shared" si="4"/>
        <v>21441.011999999999</v>
      </c>
      <c r="I57" s="335"/>
      <c r="J57" s="310">
        <v>0</v>
      </c>
      <c r="K57" s="310">
        <f>648+174.84-0.04</f>
        <v>822.80000000000007</v>
      </c>
      <c r="L57" s="310">
        <v>0</v>
      </c>
      <c r="M57" s="444">
        <v>211</v>
      </c>
      <c r="N57" s="308">
        <v>0</v>
      </c>
      <c r="O57" s="309">
        <v>0</v>
      </c>
      <c r="P57" s="307">
        <f t="shared" si="3"/>
        <v>1033.8000000000002</v>
      </c>
      <c r="Q57" s="271">
        <f t="shared" si="5"/>
        <v>1.0000000000000002</v>
      </c>
      <c r="R57" s="317">
        <f t="shared" si="6"/>
        <v>21441.012000000002</v>
      </c>
      <c r="T57" s="419">
        <f t="shared" si="7"/>
        <v>-4.7157300286926326E-12</v>
      </c>
    </row>
    <row r="58" spans="2:22" s="336" customFormat="1" ht="21.75" customHeight="1">
      <c r="B58" s="65">
        <v>53</v>
      </c>
      <c r="C58" s="345" t="s">
        <v>198</v>
      </c>
      <c r="D58" s="344" t="s">
        <v>199</v>
      </c>
      <c r="E58" s="66" t="s">
        <v>274</v>
      </c>
      <c r="F58" s="278">
        <v>11.88</v>
      </c>
      <c r="G58" s="458">
        <v>21.547999999999998</v>
      </c>
      <c r="H58" s="289">
        <f t="shared" si="4"/>
        <v>255.99024</v>
      </c>
      <c r="I58" s="335"/>
      <c r="J58" s="310">
        <v>0</v>
      </c>
      <c r="K58" s="310">
        <v>11.88</v>
      </c>
      <c r="L58" s="310">
        <v>0</v>
      </c>
      <c r="M58" s="310">
        <v>0</v>
      </c>
      <c r="N58" s="308">
        <v>0</v>
      </c>
      <c r="O58" s="309">
        <v>0</v>
      </c>
      <c r="P58" s="307">
        <f t="shared" si="3"/>
        <v>11.88</v>
      </c>
      <c r="Q58" s="158">
        <f t="shared" si="5"/>
        <v>1</v>
      </c>
      <c r="R58" s="317">
        <f t="shared" si="6"/>
        <v>255.99024</v>
      </c>
      <c r="T58" s="317">
        <f t="shared" si="7"/>
        <v>0</v>
      </c>
    </row>
    <row r="59" spans="2:22" s="336" customFormat="1" ht="21.75" customHeight="1">
      <c r="B59" s="380">
        <v>54</v>
      </c>
      <c r="C59" s="343" t="s">
        <v>200</v>
      </c>
      <c r="D59" s="344" t="s">
        <v>201</v>
      </c>
      <c r="E59" s="66" t="s">
        <v>274</v>
      </c>
      <c r="F59" s="412">
        <f>229.9-229.9</f>
        <v>0</v>
      </c>
      <c r="G59" s="458">
        <v>17.507999999999999</v>
      </c>
      <c r="H59" s="289">
        <f t="shared" si="4"/>
        <v>0</v>
      </c>
      <c r="I59" s="335"/>
      <c r="J59" s="310">
        <v>0</v>
      </c>
      <c r="K59" s="308">
        <v>0</v>
      </c>
      <c r="L59" s="308">
        <v>0</v>
      </c>
      <c r="M59" s="308">
        <v>0</v>
      </c>
      <c r="N59" s="308">
        <v>0</v>
      </c>
      <c r="O59" s="309">
        <v>0</v>
      </c>
      <c r="P59" s="307">
        <f t="shared" si="3"/>
        <v>0</v>
      </c>
      <c r="Q59" s="417" t="e">
        <f t="shared" si="5"/>
        <v>#DIV/0!</v>
      </c>
      <c r="R59" s="317">
        <f t="shared" si="6"/>
        <v>0</v>
      </c>
      <c r="T59" s="317">
        <f t="shared" si="7"/>
        <v>0</v>
      </c>
    </row>
    <row r="60" spans="2:22" s="336" customFormat="1" ht="21.75" customHeight="1">
      <c r="B60" s="65">
        <v>55</v>
      </c>
      <c r="C60" s="345" t="s">
        <v>190</v>
      </c>
      <c r="D60" s="344" t="s">
        <v>191</v>
      </c>
      <c r="E60" s="66" t="s">
        <v>274</v>
      </c>
      <c r="F60" s="279">
        <f>229.9+112.2</f>
        <v>342.1</v>
      </c>
      <c r="G60" s="458">
        <v>18.315999999999999</v>
      </c>
      <c r="H60" s="289">
        <f t="shared" si="4"/>
        <v>6265.9035999999996</v>
      </c>
      <c r="I60" s="335"/>
      <c r="J60" s="310">
        <v>0</v>
      </c>
      <c r="K60" s="310">
        <f>230.7-0.8</f>
        <v>229.89999999999998</v>
      </c>
      <c r="L60" s="310">
        <v>0</v>
      </c>
      <c r="M60" s="420">
        <v>280.8</v>
      </c>
      <c r="N60" s="308">
        <v>0</v>
      </c>
      <c r="O60" s="309">
        <v>0</v>
      </c>
      <c r="P60" s="307">
        <f t="shared" si="3"/>
        <v>510.7</v>
      </c>
      <c r="Q60" s="271">
        <f t="shared" si="5"/>
        <v>1.4928383513592516</v>
      </c>
      <c r="R60" s="317">
        <f t="shared" si="6"/>
        <v>9353.9811999999984</v>
      </c>
      <c r="T60" s="419">
        <f t="shared" si="7"/>
        <v>-3088.0775999999992</v>
      </c>
    </row>
    <row r="61" spans="2:22" s="336" customFormat="1" ht="21.75" customHeight="1">
      <c r="B61" s="65">
        <v>56</v>
      </c>
      <c r="C61" s="345" t="s">
        <v>87</v>
      </c>
      <c r="D61" s="344" t="s">
        <v>202</v>
      </c>
      <c r="E61" s="66" t="s">
        <v>274</v>
      </c>
      <c r="F61" s="443">
        <f>5869.6+328.9</f>
        <v>6198.5</v>
      </c>
      <c r="G61" s="458">
        <v>11.313000000000001</v>
      </c>
      <c r="H61" s="289">
        <f t="shared" si="4"/>
        <v>70123.630499999999</v>
      </c>
      <c r="I61" s="335"/>
      <c r="J61" s="310">
        <v>5869.6</v>
      </c>
      <c r="K61" s="308">
        <v>0</v>
      </c>
      <c r="L61" s="308">
        <v>0</v>
      </c>
      <c r="M61" s="308">
        <v>0</v>
      </c>
      <c r="N61" s="308">
        <v>0</v>
      </c>
      <c r="O61" s="422">
        <f>'Packing List Items'!R168</f>
        <v>328.9</v>
      </c>
      <c r="P61" s="307">
        <f>SUM(J61:O61)</f>
        <v>6198.5</v>
      </c>
      <c r="Q61" s="165">
        <f t="shared" si="5"/>
        <v>1</v>
      </c>
      <c r="R61" s="317">
        <f t="shared" si="6"/>
        <v>70123.630499999999</v>
      </c>
      <c r="T61" s="423">
        <f t="shared" si="7"/>
        <v>0</v>
      </c>
      <c r="U61" s="336" t="s">
        <v>508</v>
      </c>
    </row>
    <row r="62" spans="2:22" s="336" customFormat="1" ht="21.75" customHeight="1">
      <c r="B62" s="65">
        <v>57</v>
      </c>
      <c r="C62" s="345" t="s">
        <v>63</v>
      </c>
      <c r="D62" s="344" t="s">
        <v>203</v>
      </c>
      <c r="E62" s="66" t="s">
        <v>274</v>
      </c>
      <c r="F62" s="443">
        <f>6906.9+1030.5</f>
        <v>7937.4</v>
      </c>
      <c r="G62" s="458">
        <v>15.084</v>
      </c>
      <c r="H62" s="289">
        <f t="shared" si="4"/>
        <v>119727.74159999999</v>
      </c>
      <c r="I62" s="335"/>
      <c r="J62" s="310">
        <v>6906.9</v>
      </c>
      <c r="K62" s="308">
        <v>0</v>
      </c>
      <c r="L62" s="308">
        <v>0</v>
      </c>
      <c r="M62" s="308">
        <v>0</v>
      </c>
      <c r="N62" s="308">
        <v>0</v>
      </c>
      <c r="O62" s="422">
        <f>'Packing List Items'!R169</f>
        <v>1030.5</v>
      </c>
      <c r="P62" s="307">
        <f>SUM(J62:O62)</f>
        <v>7937.4</v>
      </c>
      <c r="Q62" s="165">
        <f t="shared" si="5"/>
        <v>1</v>
      </c>
      <c r="R62" s="317">
        <f t="shared" si="6"/>
        <v>119727.74159999999</v>
      </c>
      <c r="T62" s="423">
        <f t="shared" si="7"/>
        <v>0</v>
      </c>
      <c r="U62" s="336" t="s">
        <v>508</v>
      </c>
    </row>
    <row r="63" spans="2:22" s="336" customFormat="1" ht="21.75" customHeight="1">
      <c r="B63" s="65">
        <v>58</v>
      </c>
      <c r="C63" s="345" t="s">
        <v>66</v>
      </c>
      <c r="D63" s="344" t="s">
        <v>204</v>
      </c>
      <c r="E63" s="66" t="s">
        <v>274</v>
      </c>
      <c r="F63" s="443">
        <f>2156+125.4</f>
        <v>2281.4</v>
      </c>
      <c r="G63" s="458">
        <v>18.855</v>
      </c>
      <c r="H63" s="289">
        <f t="shared" si="4"/>
        <v>43015.797000000006</v>
      </c>
      <c r="I63" s="335"/>
      <c r="J63" s="310">
        <v>2156</v>
      </c>
      <c r="K63" s="308">
        <v>0</v>
      </c>
      <c r="L63" s="308">
        <v>0</v>
      </c>
      <c r="M63" s="308">
        <v>0</v>
      </c>
      <c r="N63" s="308">
        <v>0</v>
      </c>
      <c r="O63" s="422">
        <f>'Packing List Items'!R170</f>
        <v>125.4</v>
      </c>
      <c r="P63" s="307">
        <f>SUM(J63:O63)</f>
        <v>2281.4</v>
      </c>
      <c r="Q63" s="165">
        <f t="shared" si="5"/>
        <v>1</v>
      </c>
      <c r="R63" s="317">
        <f t="shared" si="6"/>
        <v>43015.797000000006</v>
      </c>
      <c r="T63" s="423">
        <f t="shared" si="7"/>
        <v>0</v>
      </c>
      <c r="U63" s="336" t="s">
        <v>508</v>
      </c>
    </row>
    <row r="64" spans="2:22" s="336" customFormat="1" ht="21.75" customHeight="1">
      <c r="B64" s="65">
        <v>59</v>
      </c>
      <c r="C64" s="343" t="s">
        <v>90</v>
      </c>
      <c r="D64" s="344" t="s">
        <v>205</v>
      </c>
      <c r="E64" s="66" t="s">
        <v>265</v>
      </c>
      <c r="F64" s="323">
        <v>1</v>
      </c>
      <c r="G64" s="458"/>
      <c r="H64" s="289">
        <f t="shared" si="4"/>
        <v>0</v>
      </c>
      <c r="I64" s="335"/>
      <c r="J64" s="310">
        <v>0</v>
      </c>
      <c r="K64" s="308">
        <v>0</v>
      </c>
      <c r="L64" s="308">
        <v>0</v>
      </c>
      <c r="M64" s="308">
        <v>0</v>
      </c>
      <c r="N64" s="308">
        <v>0</v>
      </c>
      <c r="O64" s="309">
        <v>0</v>
      </c>
      <c r="P64" s="307">
        <f t="shared" si="3"/>
        <v>0</v>
      </c>
      <c r="Q64" s="270">
        <f t="shared" si="5"/>
        <v>0</v>
      </c>
      <c r="R64" s="317">
        <f t="shared" si="6"/>
        <v>0</v>
      </c>
      <c r="T64" s="317">
        <f t="shared" si="7"/>
        <v>0</v>
      </c>
    </row>
    <row r="65" spans="2:20" s="336" customFormat="1" ht="21.75" customHeight="1">
      <c r="B65" s="65">
        <v>60</v>
      </c>
      <c r="C65" s="345" t="s">
        <v>207</v>
      </c>
      <c r="D65" s="344" t="s">
        <v>208</v>
      </c>
      <c r="E65" s="66" t="s">
        <v>273</v>
      </c>
      <c r="F65" s="278">
        <v>1.1000000000000001</v>
      </c>
      <c r="G65" s="458">
        <v>6.3410000000000002</v>
      </c>
      <c r="H65" s="289">
        <f t="shared" si="4"/>
        <v>6.9751000000000012</v>
      </c>
      <c r="I65" s="335"/>
      <c r="J65" s="310">
        <v>0</v>
      </c>
      <c r="K65" s="310">
        <v>1.1000000000000001</v>
      </c>
      <c r="L65" s="310">
        <v>0</v>
      </c>
      <c r="M65" s="310">
        <v>0</v>
      </c>
      <c r="N65" s="308">
        <v>0</v>
      </c>
      <c r="O65" s="309">
        <v>0</v>
      </c>
      <c r="P65" s="307">
        <f t="shared" si="3"/>
        <v>1.1000000000000001</v>
      </c>
      <c r="Q65" s="158">
        <f t="shared" si="5"/>
        <v>1</v>
      </c>
      <c r="R65" s="317">
        <f t="shared" si="6"/>
        <v>6.9751000000000012</v>
      </c>
      <c r="T65" s="317">
        <f t="shared" si="7"/>
        <v>0</v>
      </c>
    </row>
    <row r="66" spans="2:20" s="336" customFormat="1" ht="21.75" customHeight="1">
      <c r="B66" s="65">
        <v>61</v>
      </c>
      <c r="C66" s="345" t="s">
        <v>209</v>
      </c>
      <c r="D66" s="344" t="s">
        <v>210</v>
      </c>
      <c r="E66" s="66" t="s">
        <v>273</v>
      </c>
      <c r="F66" s="278">
        <v>20.9</v>
      </c>
      <c r="G66" s="458">
        <v>6.95</v>
      </c>
      <c r="H66" s="289">
        <f t="shared" si="4"/>
        <v>145.255</v>
      </c>
      <c r="I66" s="335"/>
      <c r="J66" s="310">
        <v>0</v>
      </c>
      <c r="K66" s="310">
        <v>20.9</v>
      </c>
      <c r="L66" s="310">
        <v>0</v>
      </c>
      <c r="M66" s="310">
        <v>0</v>
      </c>
      <c r="N66" s="308">
        <v>0</v>
      </c>
      <c r="O66" s="309">
        <v>0</v>
      </c>
      <c r="P66" s="307">
        <f t="shared" si="3"/>
        <v>20.9</v>
      </c>
      <c r="Q66" s="158">
        <f t="shared" si="5"/>
        <v>1</v>
      </c>
      <c r="R66" s="317">
        <f t="shared" si="6"/>
        <v>145.255</v>
      </c>
      <c r="T66" s="317">
        <f t="shared" si="7"/>
        <v>0</v>
      </c>
    </row>
    <row r="67" spans="2:20" s="336" customFormat="1" ht="21.75" customHeight="1">
      <c r="B67" s="65">
        <v>62</v>
      </c>
      <c r="C67" s="345" t="s">
        <v>211</v>
      </c>
      <c r="D67" s="344" t="s">
        <v>212</v>
      </c>
      <c r="E67" s="66" t="s">
        <v>273</v>
      </c>
      <c r="F67" s="278">
        <v>8.8000000000000007</v>
      </c>
      <c r="G67" s="458">
        <v>9.6270000000000007</v>
      </c>
      <c r="H67" s="289">
        <f t="shared" si="4"/>
        <v>84.717600000000019</v>
      </c>
      <c r="I67" s="335"/>
      <c r="J67" s="310">
        <v>0</v>
      </c>
      <c r="K67" s="310">
        <v>8.8000000000000007</v>
      </c>
      <c r="L67" s="310">
        <v>0</v>
      </c>
      <c r="M67" s="310">
        <v>0</v>
      </c>
      <c r="N67" s="308">
        <v>0</v>
      </c>
      <c r="O67" s="309">
        <v>0</v>
      </c>
      <c r="P67" s="307">
        <f t="shared" si="3"/>
        <v>8.8000000000000007</v>
      </c>
      <c r="Q67" s="158">
        <f t="shared" si="5"/>
        <v>1</v>
      </c>
      <c r="R67" s="317">
        <f t="shared" si="6"/>
        <v>84.717600000000019</v>
      </c>
      <c r="T67" s="317">
        <f t="shared" si="7"/>
        <v>0</v>
      </c>
    </row>
    <row r="68" spans="2:20" s="336" customFormat="1" ht="21.75" customHeight="1">
      <c r="B68" s="65">
        <v>63</v>
      </c>
      <c r="C68" s="345" t="s">
        <v>213</v>
      </c>
      <c r="D68" s="344" t="s">
        <v>214</v>
      </c>
      <c r="E68" s="66" t="s">
        <v>273</v>
      </c>
      <c r="F68" s="278">
        <v>1.1000000000000001</v>
      </c>
      <c r="G68" s="458">
        <v>14.464</v>
      </c>
      <c r="H68" s="289">
        <f t="shared" si="4"/>
        <v>15.910400000000001</v>
      </c>
      <c r="I68" s="335"/>
      <c r="J68" s="310">
        <v>0</v>
      </c>
      <c r="K68" s="310">
        <v>1.1000000000000001</v>
      </c>
      <c r="L68" s="310">
        <v>0</v>
      </c>
      <c r="M68" s="310">
        <v>0</v>
      </c>
      <c r="N68" s="308">
        <v>0</v>
      </c>
      <c r="O68" s="309">
        <v>0</v>
      </c>
      <c r="P68" s="307">
        <f t="shared" si="3"/>
        <v>1.1000000000000001</v>
      </c>
      <c r="Q68" s="158">
        <f t="shared" si="5"/>
        <v>1</v>
      </c>
      <c r="R68" s="317">
        <f t="shared" si="6"/>
        <v>15.910400000000001</v>
      </c>
      <c r="T68" s="317">
        <f t="shared" si="7"/>
        <v>0</v>
      </c>
    </row>
    <row r="69" spans="2:20" s="336" customFormat="1" ht="21.75" customHeight="1">
      <c r="B69" s="65">
        <v>64</v>
      </c>
      <c r="C69" s="345" t="s">
        <v>215</v>
      </c>
      <c r="D69" s="344" t="s">
        <v>216</v>
      </c>
      <c r="E69" s="66" t="s">
        <v>273</v>
      </c>
      <c r="F69" s="278">
        <v>2.2000000000000002</v>
      </c>
      <c r="G69" s="458">
        <v>12.023999999999999</v>
      </c>
      <c r="H69" s="289">
        <f t="shared" si="4"/>
        <v>26.4528</v>
      </c>
      <c r="I69" s="335"/>
      <c r="J69" s="310">
        <v>0</v>
      </c>
      <c r="K69" s="310">
        <v>2.2000000000000002</v>
      </c>
      <c r="L69" s="310">
        <v>0</v>
      </c>
      <c r="M69" s="310">
        <v>0</v>
      </c>
      <c r="N69" s="308">
        <v>0</v>
      </c>
      <c r="O69" s="309">
        <v>0</v>
      </c>
      <c r="P69" s="307">
        <f t="shared" si="3"/>
        <v>2.2000000000000002</v>
      </c>
      <c r="Q69" s="158">
        <f t="shared" si="5"/>
        <v>1</v>
      </c>
      <c r="R69" s="317">
        <f t="shared" si="6"/>
        <v>26.4528</v>
      </c>
      <c r="T69" s="317">
        <f t="shared" si="7"/>
        <v>0</v>
      </c>
    </row>
    <row r="70" spans="2:20" s="336" customFormat="1" ht="21.75" customHeight="1">
      <c r="B70" s="65">
        <v>65</v>
      </c>
      <c r="C70" s="345" t="s">
        <v>217</v>
      </c>
      <c r="D70" s="344" t="s">
        <v>218</v>
      </c>
      <c r="E70" s="66" t="s">
        <v>273</v>
      </c>
      <c r="F70" s="278">
        <v>908.6</v>
      </c>
      <c r="G70" s="458">
        <v>11.092000000000001</v>
      </c>
      <c r="H70" s="289">
        <f t="shared" si="4"/>
        <v>10078.191200000001</v>
      </c>
      <c r="I70" s="335"/>
      <c r="J70" s="310">
        <v>0</v>
      </c>
      <c r="K70" s="310">
        <v>908.6</v>
      </c>
      <c r="L70" s="310">
        <v>0</v>
      </c>
      <c r="M70" s="310">
        <v>0</v>
      </c>
      <c r="N70" s="308">
        <v>0</v>
      </c>
      <c r="O70" s="309">
        <v>0</v>
      </c>
      <c r="P70" s="307">
        <f t="shared" si="3"/>
        <v>908.6</v>
      </c>
      <c r="Q70" s="158">
        <f t="shared" ref="Q70:Q90" si="8">P70/F70</f>
        <v>1</v>
      </c>
      <c r="R70" s="317">
        <f t="shared" ref="R70:R90" si="9">P70*G70</f>
        <v>10078.191200000001</v>
      </c>
      <c r="T70" s="317">
        <f t="shared" ref="T70:T90" si="10">(F70-P70)*G70</f>
        <v>0</v>
      </c>
    </row>
    <row r="71" spans="2:20" s="336" customFormat="1" ht="21.75" customHeight="1">
      <c r="B71" s="65">
        <v>66</v>
      </c>
      <c r="C71" s="345" t="s">
        <v>219</v>
      </c>
      <c r="D71" s="344" t="s">
        <v>220</v>
      </c>
      <c r="E71" s="66" t="s">
        <v>273</v>
      </c>
      <c r="F71" s="278">
        <v>193.6</v>
      </c>
      <c r="G71" s="458">
        <v>14.625999999999999</v>
      </c>
      <c r="H71" s="289">
        <f t="shared" si="4"/>
        <v>2831.5935999999997</v>
      </c>
      <c r="I71" s="335"/>
      <c r="J71" s="310">
        <v>0</v>
      </c>
      <c r="K71" s="310">
        <v>193.6</v>
      </c>
      <c r="L71" s="310">
        <v>0</v>
      </c>
      <c r="M71" s="310">
        <v>0</v>
      </c>
      <c r="N71" s="308">
        <v>0</v>
      </c>
      <c r="O71" s="309">
        <v>0</v>
      </c>
      <c r="P71" s="307">
        <f t="shared" ref="P71:P90" si="11">SUM(J71:O71)</f>
        <v>193.6</v>
      </c>
      <c r="Q71" s="158">
        <f t="shared" si="8"/>
        <v>1</v>
      </c>
      <c r="R71" s="317">
        <f t="shared" si="9"/>
        <v>2831.5935999999997</v>
      </c>
      <c r="T71" s="317">
        <f t="shared" si="10"/>
        <v>0</v>
      </c>
    </row>
    <row r="72" spans="2:20" s="336" customFormat="1" ht="21.75" customHeight="1">
      <c r="B72" s="65">
        <v>67</v>
      </c>
      <c r="C72" s="345" t="s">
        <v>221</v>
      </c>
      <c r="D72" s="344" t="s">
        <v>222</v>
      </c>
      <c r="E72" s="66" t="s">
        <v>273</v>
      </c>
      <c r="F72" s="278">
        <v>85.8</v>
      </c>
      <c r="G72" s="458">
        <v>21.123000000000001</v>
      </c>
      <c r="H72" s="289">
        <f t="shared" ref="H72:H90" si="12">F72*G72</f>
        <v>1812.3534</v>
      </c>
      <c r="I72" s="335"/>
      <c r="J72" s="310">
        <v>0</v>
      </c>
      <c r="K72" s="310">
        <v>85.8</v>
      </c>
      <c r="L72" s="310">
        <v>0</v>
      </c>
      <c r="M72" s="310">
        <v>0</v>
      </c>
      <c r="N72" s="308">
        <v>0</v>
      </c>
      <c r="O72" s="309">
        <v>0</v>
      </c>
      <c r="P72" s="307">
        <f t="shared" si="11"/>
        <v>85.8</v>
      </c>
      <c r="Q72" s="158">
        <f t="shared" si="8"/>
        <v>1</v>
      </c>
      <c r="R72" s="317">
        <f t="shared" si="9"/>
        <v>1812.3534</v>
      </c>
      <c r="T72" s="317">
        <f t="shared" si="10"/>
        <v>0</v>
      </c>
    </row>
    <row r="73" spans="2:20" s="336" customFormat="1" ht="21.75" customHeight="1">
      <c r="B73" s="65">
        <v>68</v>
      </c>
      <c r="C73" s="345" t="s">
        <v>223</v>
      </c>
      <c r="D73" s="344" t="s">
        <v>224</v>
      </c>
      <c r="E73" s="66" t="s">
        <v>273</v>
      </c>
      <c r="F73" s="278">
        <v>34.1</v>
      </c>
      <c r="G73" s="458">
        <v>25.184000000000001</v>
      </c>
      <c r="H73" s="289">
        <f t="shared" si="12"/>
        <v>858.77440000000013</v>
      </c>
      <c r="I73" s="335"/>
      <c r="J73" s="310">
        <v>0</v>
      </c>
      <c r="K73" s="310">
        <v>34.1</v>
      </c>
      <c r="L73" s="310">
        <v>0</v>
      </c>
      <c r="M73" s="310">
        <v>0</v>
      </c>
      <c r="N73" s="308">
        <v>0</v>
      </c>
      <c r="O73" s="309">
        <v>0</v>
      </c>
      <c r="P73" s="307">
        <f t="shared" si="11"/>
        <v>34.1</v>
      </c>
      <c r="Q73" s="158">
        <f t="shared" si="8"/>
        <v>1</v>
      </c>
      <c r="R73" s="317">
        <f t="shared" si="9"/>
        <v>858.77440000000013</v>
      </c>
      <c r="T73" s="317">
        <f t="shared" si="10"/>
        <v>0</v>
      </c>
    </row>
    <row r="74" spans="2:20" s="336" customFormat="1" ht="21.75" customHeight="1">
      <c r="B74" s="65">
        <v>69</v>
      </c>
      <c r="C74" s="345" t="s">
        <v>225</v>
      </c>
      <c r="D74" s="344" t="s">
        <v>226</v>
      </c>
      <c r="E74" s="66" t="s">
        <v>273</v>
      </c>
      <c r="F74" s="278">
        <v>38.5</v>
      </c>
      <c r="G74" s="458">
        <v>33.512999999999998</v>
      </c>
      <c r="H74" s="289">
        <f t="shared" si="12"/>
        <v>1290.2504999999999</v>
      </c>
      <c r="I74" s="335"/>
      <c r="J74" s="310">
        <v>0</v>
      </c>
      <c r="K74" s="310">
        <f>38.58-0.08</f>
        <v>38.5</v>
      </c>
      <c r="L74" s="310">
        <v>0</v>
      </c>
      <c r="M74" s="310">
        <v>0</v>
      </c>
      <c r="N74" s="308">
        <v>0</v>
      </c>
      <c r="O74" s="309">
        <v>0</v>
      </c>
      <c r="P74" s="307">
        <f t="shared" si="11"/>
        <v>38.5</v>
      </c>
      <c r="Q74" s="158">
        <f t="shared" si="8"/>
        <v>1</v>
      </c>
      <c r="R74" s="317">
        <f t="shared" si="9"/>
        <v>1290.2504999999999</v>
      </c>
      <c r="T74" s="317">
        <f t="shared" si="10"/>
        <v>0</v>
      </c>
    </row>
    <row r="75" spans="2:20" s="336" customFormat="1" ht="21.75" customHeight="1">
      <c r="B75" s="65">
        <v>70</v>
      </c>
      <c r="C75" s="345" t="s">
        <v>291</v>
      </c>
      <c r="D75" s="344" t="s">
        <v>228</v>
      </c>
      <c r="E75" s="66" t="s">
        <v>273</v>
      </c>
      <c r="F75" s="278">
        <v>125.4</v>
      </c>
      <c r="G75" s="458">
        <v>56.052</v>
      </c>
      <c r="H75" s="289">
        <f t="shared" si="12"/>
        <v>7028.9207999999999</v>
      </c>
      <c r="I75" s="335"/>
      <c r="J75" s="310">
        <v>0</v>
      </c>
      <c r="K75" s="310">
        <v>125.4</v>
      </c>
      <c r="L75" s="310">
        <v>0</v>
      </c>
      <c r="M75" s="310">
        <v>0</v>
      </c>
      <c r="N75" s="308">
        <v>0</v>
      </c>
      <c r="O75" s="309">
        <v>0</v>
      </c>
      <c r="P75" s="307">
        <f t="shared" si="11"/>
        <v>125.4</v>
      </c>
      <c r="Q75" s="158">
        <f t="shared" si="8"/>
        <v>1</v>
      </c>
      <c r="R75" s="317">
        <f t="shared" si="9"/>
        <v>7028.9207999999999</v>
      </c>
      <c r="T75" s="317">
        <f t="shared" si="10"/>
        <v>0</v>
      </c>
    </row>
    <row r="76" spans="2:20" s="336" customFormat="1" ht="21.75" customHeight="1">
      <c r="B76" s="65">
        <v>71</v>
      </c>
      <c r="C76" s="345" t="s">
        <v>229</v>
      </c>
      <c r="D76" s="346" t="s">
        <v>230</v>
      </c>
      <c r="E76" s="66" t="s">
        <v>273</v>
      </c>
      <c r="F76" s="278">
        <v>39.6</v>
      </c>
      <c r="G76" s="458">
        <v>44.68</v>
      </c>
      <c r="H76" s="289">
        <f t="shared" si="12"/>
        <v>1769.328</v>
      </c>
      <c r="I76" s="335"/>
      <c r="J76" s="310">
        <v>0</v>
      </c>
      <c r="K76" s="310">
        <v>39.6</v>
      </c>
      <c r="L76" s="310">
        <v>0</v>
      </c>
      <c r="M76" s="310">
        <v>0</v>
      </c>
      <c r="N76" s="308">
        <v>0</v>
      </c>
      <c r="O76" s="309">
        <v>0</v>
      </c>
      <c r="P76" s="307">
        <f t="shared" si="11"/>
        <v>39.6</v>
      </c>
      <c r="Q76" s="158">
        <f t="shared" si="8"/>
        <v>1</v>
      </c>
      <c r="R76" s="317">
        <f t="shared" si="9"/>
        <v>1769.328</v>
      </c>
      <c r="T76" s="317">
        <f t="shared" si="10"/>
        <v>0</v>
      </c>
    </row>
    <row r="77" spans="2:20" s="336" customFormat="1" ht="21.75" customHeight="1">
      <c r="B77" s="65">
        <v>72</v>
      </c>
      <c r="C77" s="345" t="s">
        <v>91</v>
      </c>
      <c r="D77" s="346" t="s">
        <v>233</v>
      </c>
      <c r="E77" s="66" t="s">
        <v>273</v>
      </c>
      <c r="F77" s="278">
        <v>43500</v>
      </c>
      <c r="G77" s="458">
        <v>0.61</v>
      </c>
      <c r="H77" s="289">
        <f t="shared" si="12"/>
        <v>26535</v>
      </c>
      <c r="I77" s="335"/>
      <c r="J77" s="310">
        <v>43500</v>
      </c>
      <c r="K77" s="308">
        <v>0</v>
      </c>
      <c r="L77" s="308">
        <v>0</v>
      </c>
      <c r="M77" s="308">
        <v>0</v>
      </c>
      <c r="N77" s="308">
        <v>0</v>
      </c>
      <c r="O77" s="309">
        <v>0</v>
      </c>
      <c r="P77" s="307">
        <f t="shared" si="11"/>
        <v>43500</v>
      </c>
      <c r="Q77" s="158">
        <f t="shared" si="8"/>
        <v>1</v>
      </c>
      <c r="R77" s="317">
        <f t="shared" si="9"/>
        <v>26535</v>
      </c>
      <c r="T77" s="317">
        <f t="shared" si="10"/>
        <v>0</v>
      </c>
    </row>
    <row r="78" spans="2:20" s="336" customFormat="1" ht="21.75" customHeight="1">
      <c r="B78" s="65">
        <v>73</v>
      </c>
      <c r="C78" s="345" t="s">
        <v>91</v>
      </c>
      <c r="D78" s="346" t="s">
        <v>234</v>
      </c>
      <c r="E78" s="66" t="s">
        <v>273</v>
      </c>
      <c r="F78" s="278">
        <v>13000</v>
      </c>
      <c r="G78" s="458">
        <v>1</v>
      </c>
      <c r="H78" s="289">
        <f t="shared" si="12"/>
        <v>13000</v>
      </c>
      <c r="I78" s="335"/>
      <c r="J78" s="310">
        <v>13000</v>
      </c>
      <c r="K78" s="308">
        <v>0</v>
      </c>
      <c r="L78" s="308">
        <v>0</v>
      </c>
      <c r="M78" s="308">
        <v>0</v>
      </c>
      <c r="N78" s="308">
        <v>0</v>
      </c>
      <c r="O78" s="309">
        <v>0</v>
      </c>
      <c r="P78" s="307">
        <f t="shared" si="11"/>
        <v>13000</v>
      </c>
      <c r="Q78" s="158">
        <f t="shared" si="8"/>
        <v>1</v>
      </c>
      <c r="R78" s="317">
        <f t="shared" si="9"/>
        <v>13000</v>
      </c>
      <c r="T78" s="317">
        <f t="shared" si="10"/>
        <v>0</v>
      </c>
    </row>
    <row r="79" spans="2:20" s="336" customFormat="1" ht="21.75" customHeight="1">
      <c r="B79" s="65">
        <v>74</v>
      </c>
      <c r="C79" s="345" t="s">
        <v>91</v>
      </c>
      <c r="D79" s="346" t="s">
        <v>245</v>
      </c>
      <c r="E79" s="100" t="s">
        <v>264</v>
      </c>
      <c r="F79" s="278">
        <v>72000</v>
      </c>
      <c r="G79" s="458">
        <v>0.08</v>
      </c>
      <c r="H79" s="289">
        <f t="shared" si="12"/>
        <v>5760</v>
      </c>
      <c r="I79" s="335"/>
      <c r="J79" s="310">
        <v>72000</v>
      </c>
      <c r="K79" s="308">
        <v>0</v>
      </c>
      <c r="L79" s="308">
        <v>0</v>
      </c>
      <c r="M79" s="308">
        <v>0</v>
      </c>
      <c r="N79" s="308">
        <v>0</v>
      </c>
      <c r="O79" s="309">
        <v>0</v>
      </c>
      <c r="P79" s="307">
        <f t="shared" si="11"/>
        <v>72000</v>
      </c>
      <c r="Q79" s="158">
        <f t="shared" si="8"/>
        <v>1</v>
      </c>
      <c r="R79" s="317">
        <f t="shared" si="9"/>
        <v>5760</v>
      </c>
      <c r="T79" s="317">
        <f t="shared" si="10"/>
        <v>0</v>
      </c>
    </row>
    <row r="80" spans="2:20" s="336" customFormat="1" ht="21.75" customHeight="1">
      <c r="B80" s="65">
        <v>75</v>
      </c>
      <c r="C80" s="345" t="s">
        <v>91</v>
      </c>
      <c r="D80" s="346" t="s">
        <v>246</v>
      </c>
      <c r="E80" s="100" t="s">
        <v>264</v>
      </c>
      <c r="F80" s="278">
        <v>3500</v>
      </c>
      <c r="G80" s="458">
        <v>0.08</v>
      </c>
      <c r="H80" s="289">
        <f t="shared" si="12"/>
        <v>280</v>
      </c>
      <c r="I80" s="335"/>
      <c r="J80" s="310">
        <v>3500</v>
      </c>
      <c r="K80" s="308">
        <v>0</v>
      </c>
      <c r="L80" s="308">
        <v>0</v>
      </c>
      <c r="M80" s="308">
        <v>0</v>
      </c>
      <c r="N80" s="308">
        <v>0</v>
      </c>
      <c r="O80" s="309">
        <v>0</v>
      </c>
      <c r="P80" s="307">
        <f t="shared" si="11"/>
        <v>3500</v>
      </c>
      <c r="Q80" s="158">
        <f t="shared" si="8"/>
        <v>1</v>
      </c>
      <c r="R80" s="317">
        <f t="shared" si="9"/>
        <v>280</v>
      </c>
      <c r="T80" s="317">
        <f t="shared" si="10"/>
        <v>0</v>
      </c>
    </row>
    <row r="81" spans="2:20" s="336" customFormat="1" ht="21.75" customHeight="1">
      <c r="B81" s="65">
        <v>76</v>
      </c>
      <c r="C81" s="345" t="s">
        <v>91</v>
      </c>
      <c r="D81" s="346" t="s">
        <v>235</v>
      </c>
      <c r="E81" s="100" t="s">
        <v>264</v>
      </c>
      <c r="F81" s="278">
        <v>120000</v>
      </c>
      <c r="G81" s="458">
        <v>6.6000000000000003E-2</v>
      </c>
      <c r="H81" s="289">
        <f t="shared" si="12"/>
        <v>7920</v>
      </c>
      <c r="I81" s="335"/>
      <c r="J81" s="310">
        <v>120000</v>
      </c>
      <c r="K81" s="308">
        <v>0</v>
      </c>
      <c r="L81" s="308">
        <v>0</v>
      </c>
      <c r="M81" s="308">
        <v>0</v>
      </c>
      <c r="N81" s="308">
        <v>0</v>
      </c>
      <c r="O81" s="309">
        <v>0</v>
      </c>
      <c r="P81" s="307">
        <f t="shared" si="11"/>
        <v>120000</v>
      </c>
      <c r="Q81" s="158">
        <f t="shared" si="8"/>
        <v>1</v>
      </c>
      <c r="R81" s="317">
        <f t="shared" si="9"/>
        <v>7920</v>
      </c>
      <c r="T81" s="317">
        <f t="shared" si="10"/>
        <v>0</v>
      </c>
    </row>
    <row r="82" spans="2:20" s="336" customFormat="1" ht="21.75" customHeight="1">
      <c r="B82" s="65">
        <v>77</v>
      </c>
      <c r="C82" s="345" t="s">
        <v>91</v>
      </c>
      <c r="D82" s="346" t="s">
        <v>236</v>
      </c>
      <c r="E82" s="100" t="s">
        <v>264</v>
      </c>
      <c r="F82" s="278">
        <v>80000</v>
      </c>
      <c r="G82" s="458">
        <v>5.7000000000000002E-2</v>
      </c>
      <c r="H82" s="289">
        <f t="shared" si="12"/>
        <v>4560</v>
      </c>
      <c r="I82" s="335"/>
      <c r="J82" s="310">
        <v>80000</v>
      </c>
      <c r="K82" s="308">
        <v>0</v>
      </c>
      <c r="L82" s="308">
        <v>0</v>
      </c>
      <c r="M82" s="308">
        <v>0</v>
      </c>
      <c r="N82" s="308">
        <v>0</v>
      </c>
      <c r="O82" s="309">
        <v>0</v>
      </c>
      <c r="P82" s="307">
        <f t="shared" si="11"/>
        <v>80000</v>
      </c>
      <c r="Q82" s="158">
        <f t="shared" si="8"/>
        <v>1</v>
      </c>
      <c r="R82" s="317">
        <f t="shared" si="9"/>
        <v>4560</v>
      </c>
      <c r="T82" s="317">
        <f t="shared" si="10"/>
        <v>0</v>
      </c>
    </row>
    <row r="83" spans="2:20" s="336" customFormat="1" ht="21.75" customHeight="1">
      <c r="B83" s="65">
        <v>78</v>
      </c>
      <c r="C83" s="345" t="s">
        <v>91</v>
      </c>
      <c r="D83" s="346" t="s">
        <v>237</v>
      </c>
      <c r="E83" s="100" t="s">
        <v>264</v>
      </c>
      <c r="F83" s="278">
        <v>120000</v>
      </c>
      <c r="G83" s="458">
        <v>3.5999999999999997E-2</v>
      </c>
      <c r="H83" s="289">
        <f t="shared" si="12"/>
        <v>4320</v>
      </c>
      <c r="I83" s="335"/>
      <c r="J83" s="310">
        <v>53100</v>
      </c>
      <c r="K83" s="308">
        <v>0</v>
      </c>
      <c r="L83" s="308">
        <v>66900</v>
      </c>
      <c r="M83" s="308">
        <v>0</v>
      </c>
      <c r="N83" s="308">
        <v>0</v>
      </c>
      <c r="O83" s="309">
        <v>0</v>
      </c>
      <c r="P83" s="307">
        <f t="shared" si="11"/>
        <v>120000</v>
      </c>
      <c r="Q83" s="158">
        <f t="shared" si="8"/>
        <v>1</v>
      </c>
      <c r="R83" s="317">
        <f t="shared" si="9"/>
        <v>4320</v>
      </c>
      <c r="T83" s="317">
        <f t="shared" si="10"/>
        <v>0</v>
      </c>
    </row>
    <row r="84" spans="2:20" s="336" customFormat="1" ht="21.75" customHeight="1">
      <c r="B84" s="65">
        <v>79</v>
      </c>
      <c r="C84" s="345" t="s">
        <v>91</v>
      </c>
      <c r="D84" s="346" t="s">
        <v>238</v>
      </c>
      <c r="E84" s="100" t="s">
        <v>264</v>
      </c>
      <c r="F84" s="443">
        <f>3090+750</f>
        <v>3840</v>
      </c>
      <c r="G84" s="458">
        <v>6.6</v>
      </c>
      <c r="H84" s="289">
        <f t="shared" si="12"/>
        <v>25344</v>
      </c>
      <c r="I84" s="335"/>
      <c r="J84" s="310">
        <v>0</v>
      </c>
      <c r="K84" s="308">
        <v>0</v>
      </c>
      <c r="L84" s="308">
        <v>3090</v>
      </c>
      <c r="M84" s="445">
        <v>750</v>
      </c>
      <c r="N84" s="308">
        <v>0</v>
      </c>
      <c r="O84" s="309">
        <v>0</v>
      </c>
      <c r="P84" s="307">
        <f t="shared" si="11"/>
        <v>3840</v>
      </c>
      <c r="Q84" s="271">
        <f t="shared" si="8"/>
        <v>1</v>
      </c>
      <c r="R84" s="317">
        <f t="shared" si="9"/>
        <v>25344</v>
      </c>
      <c r="T84" s="419">
        <f t="shared" si="10"/>
        <v>0</v>
      </c>
    </row>
    <row r="85" spans="2:20" s="336" customFormat="1" ht="21.75" customHeight="1">
      <c r="B85" s="65">
        <v>80</v>
      </c>
      <c r="C85" s="345" t="s">
        <v>91</v>
      </c>
      <c r="D85" s="346" t="s">
        <v>239</v>
      </c>
      <c r="E85" s="100" t="s">
        <v>264</v>
      </c>
      <c r="F85" s="278">
        <v>3200</v>
      </c>
      <c r="G85" s="458">
        <v>0.09</v>
      </c>
      <c r="H85" s="289">
        <f t="shared" si="12"/>
        <v>288</v>
      </c>
      <c r="I85" s="335"/>
      <c r="J85" s="310">
        <v>3200</v>
      </c>
      <c r="K85" s="308">
        <v>0</v>
      </c>
      <c r="L85" s="308">
        <v>0</v>
      </c>
      <c r="M85" s="308">
        <v>0</v>
      </c>
      <c r="N85" s="308">
        <v>0</v>
      </c>
      <c r="O85" s="309">
        <v>0</v>
      </c>
      <c r="P85" s="307">
        <f t="shared" si="11"/>
        <v>3200</v>
      </c>
      <c r="Q85" s="158">
        <f t="shared" si="8"/>
        <v>1</v>
      </c>
      <c r="R85" s="317">
        <f t="shared" si="9"/>
        <v>288</v>
      </c>
      <c r="T85" s="317">
        <f t="shared" si="10"/>
        <v>0</v>
      </c>
    </row>
    <row r="86" spans="2:20" s="336" customFormat="1" ht="21.75" customHeight="1">
      <c r="B86" s="65">
        <v>81</v>
      </c>
      <c r="C86" s="345" t="s">
        <v>91</v>
      </c>
      <c r="D86" s="346" t="s">
        <v>240</v>
      </c>
      <c r="E86" s="66" t="s">
        <v>273</v>
      </c>
      <c r="F86" s="278">
        <v>106000</v>
      </c>
      <c r="G86" s="458">
        <v>0.21</v>
      </c>
      <c r="H86" s="289">
        <f t="shared" si="12"/>
        <v>22260</v>
      </c>
      <c r="I86" s="335"/>
      <c r="J86" s="310">
        <v>106000</v>
      </c>
      <c r="K86" s="308">
        <v>0</v>
      </c>
      <c r="L86" s="308">
        <v>0</v>
      </c>
      <c r="M86" s="308">
        <v>0</v>
      </c>
      <c r="N86" s="308">
        <v>0</v>
      </c>
      <c r="O86" s="309">
        <v>0</v>
      </c>
      <c r="P86" s="307">
        <f t="shared" si="11"/>
        <v>106000</v>
      </c>
      <c r="Q86" s="158">
        <f t="shared" si="8"/>
        <v>1</v>
      </c>
      <c r="R86" s="317">
        <f t="shared" si="9"/>
        <v>22260</v>
      </c>
      <c r="T86" s="317">
        <f t="shared" si="10"/>
        <v>0</v>
      </c>
    </row>
    <row r="87" spans="2:20" s="336" customFormat="1" ht="21.75" customHeight="1">
      <c r="B87" s="65">
        <v>82</v>
      </c>
      <c r="C87" s="345" t="s">
        <v>91</v>
      </c>
      <c r="D87" s="346" t="s">
        <v>241</v>
      </c>
      <c r="E87" s="100" t="s">
        <v>276</v>
      </c>
      <c r="F87" s="278">
        <v>75</v>
      </c>
      <c r="G87" s="458">
        <v>15.95</v>
      </c>
      <c r="H87" s="289">
        <f t="shared" si="12"/>
        <v>1196.25</v>
      </c>
      <c r="I87" s="335"/>
      <c r="J87" s="310">
        <v>75</v>
      </c>
      <c r="K87" s="308">
        <v>0</v>
      </c>
      <c r="L87" s="308">
        <v>0</v>
      </c>
      <c r="M87" s="308">
        <v>0</v>
      </c>
      <c r="N87" s="308">
        <v>0</v>
      </c>
      <c r="O87" s="309">
        <v>0</v>
      </c>
      <c r="P87" s="307">
        <f t="shared" si="11"/>
        <v>75</v>
      </c>
      <c r="Q87" s="158">
        <f t="shared" si="8"/>
        <v>1</v>
      </c>
      <c r="R87" s="317">
        <f t="shared" si="9"/>
        <v>1196.25</v>
      </c>
      <c r="T87" s="317">
        <f t="shared" si="10"/>
        <v>0</v>
      </c>
    </row>
    <row r="88" spans="2:20" s="336" customFormat="1" ht="21.75" customHeight="1">
      <c r="B88" s="65">
        <v>83</v>
      </c>
      <c r="C88" s="345" t="s">
        <v>91</v>
      </c>
      <c r="D88" s="346" t="s">
        <v>104</v>
      </c>
      <c r="E88" s="100" t="s">
        <v>275</v>
      </c>
      <c r="F88" s="278">
        <v>2075</v>
      </c>
      <c r="G88" s="458">
        <v>2.65</v>
      </c>
      <c r="H88" s="289">
        <f t="shared" si="12"/>
        <v>5498.75</v>
      </c>
      <c r="I88" s="335"/>
      <c r="J88" s="310">
        <v>2075</v>
      </c>
      <c r="K88" s="308">
        <v>0</v>
      </c>
      <c r="L88" s="308">
        <v>0</v>
      </c>
      <c r="M88" s="308">
        <v>0</v>
      </c>
      <c r="N88" s="308">
        <v>0</v>
      </c>
      <c r="O88" s="309">
        <v>0</v>
      </c>
      <c r="P88" s="307">
        <f t="shared" si="11"/>
        <v>2075</v>
      </c>
      <c r="Q88" s="158">
        <f t="shared" si="8"/>
        <v>1</v>
      </c>
      <c r="R88" s="317">
        <f t="shared" si="9"/>
        <v>5498.75</v>
      </c>
      <c r="T88" s="317">
        <f t="shared" si="10"/>
        <v>0</v>
      </c>
    </row>
    <row r="89" spans="2:20" s="336" customFormat="1" ht="21.75" customHeight="1">
      <c r="B89" s="65">
        <v>84</v>
      </c>
      <c r="C89" s="345" t="s">
        <v>91</v>
      </c>
      <c r="D89" s="346" t="s">
        <v>106</v>
      </c>
      <c r="E89" s="100" t="s">
        <v>275</v>
      </c>
      <c r="F89" s="278">
        <v>550</v>
      </c>
      <c r="G89" s="458">
        <v>3</v>
      </c>
      <c r="H89" s="289">
        <f t="shared" si="12"/>
        <v>1650</v>
      </c>
      <c r="I89" s="335"/>
      <c r="J89" s="310">
        <v>550</v>
      </c>
      <c r="K89" s="308">
        <v>0</v>
      </c>
      <c r="L89" s="308">
        <v>0</v>
      </c>
      <c r="M89" s="308">
        <v>0</v>
      </c>
      <c r="N89" s="308">
        <v>0</v>
      </c>
      <c r="O89" s="309">
        <v>0</v>
      </c>
      <c r="P89" s="307">
        <f t="shared" si="11"/>
        <v>550</v>
      </c>
      <c r="Q89" s="158">
        <f t="shared" si="8"/>
        <v>1</v>
      </c>
      <c r="R89" s="317">
        <f t="shared" si="9"/>
        <v>1650</v>
      </c>
      <c r="T89" s="317">
        <f t="shared" si="10"/>
        <v>0</v>
      </c>
    </row>
    <row r="90" spans="2:20" s="336" customFormat="1" ht="21.75" customHeight="1">
      <c r="B90" s="69">
        <v>85</v>
      </c>
      <c r="C90" s="347" t="s">
        <v>91</v>
      </c>
      <c r="D90" s="348" t="s">
        <v>107</v>
      </c>
      <c r="E90" s="70" t="s">
        <v>275</v>
      </c>
      <c r="F90" s="280">
        <v>750</v>
      </c>
      <c r="G90" s="459">
        <v>1.3</v>
      </c>
      <c r="H90" s="290">
        <f t="shared" si="12"/>
        <v>975</v>
      </c>
      <c r="I90" s="335"/>
      <c r="J90" s="311">
        <v>750</v>
      </c>
      <c r="K90" s="311">
        <v>0</v>
      </c>
      <c r="L90" s="311">
        <v>0</v>
      </c>
      <c r="M90" s="311">
        <v>0</v>
      </c>
      <c r="N90" s="311">
        <v>0</v>
      </c>
      <c r="O90" s="350">
        <v>0</v>
      </c>
      <c r="P90" s="349">
        <f t="shared" si="11"/>
        <v>750</v>
      </c>
      <c r="Q90" s="159">
        <f t="shared" si="8"/>
        <v>1</v>
      </c>
      <c r="R90" s="318">
        <f t="shared" si="9"/>
        <v>975</v>
      </c>
      <c r="T90" s="318">
        <f t="shared" si="10"/>
        <v>0</v>
      </c>
    </row>
    <row r="91" spans="2:20" ht="5.0999999999999996" customHeight="1">
      <c r="D91" s="73"/>
      <c r="E91" s="73"/>
      <c r="F91" s="281"/>
      <c r="G91" s="460"/>
      <c r="H91" s="291"/>
      <c r="I91" s="76"/>
      <c r="J91" s="283"/>
      <c r="K91" s="283"/>
      <c r="L91" s="283"/>
      <c r="M91" s="283"/>
      <c r="N91" s="283"/>
      <c r="O91" s="283"/>
      <c r="P91" s="283"/>
      <c r="Q91" s="77"/>
      <c r="R91" s="319"/>
      <c r="T91" s="319"/>
    </row>
    <row r="92" spans="2:20" s="79" customFormat="1" ht="24" thickBot="1">
      <c r="D92" s="80"/>
      <c r="E92" s="80"/>
      <c r="F92" s="282">
        <f>SUM(F6:F91)</f>
        <v>610406.96399999992</v>
      </c>
      <c r="G92" s="461"/>
      <c r="H92" s="292">
        <f>SUBTOTAL(9,H6:H90)</f>
        <v>577298.08233600005</v>
      </c>
      <c r="I92" s="82"/>
      <c r="J92" s="312">
        <f t="shared" ref="J92:O92" si="13">SUM(J6:J91)</f>
        <v>517019</v>
      </c>
      <c r="K92" s="312">
        <f t="shared" si="13"/>
        <v>8042.9600000000009</v>
      </c>
      <c r="L92" s="312">
        <f t="shared" si="13"/>
        <v>75058</v>
      </c>
      <c r="M92" s="312">
        <f t="shared" si="13"/>
        <v>8931.6</v>
      </c>
      <c r="N92" s="421">
        <f t="shared" si="13"/>
        <v>4720</v>
      </c>
      <c r="O92" s="312">
        <f t="shared" si="13"/>
        <v>1484.8000000000002</v>
      </c>
      <c r="P92" s="312"/>
      <c r="Q92" s="83"/>
      <c r="R92" s="292">
        <f>SUM(R6:R91)</f>
        <v>601469.40960000013</v>
      </c>
      <c r="T92" s="292">
        <f>SUM(T6:T91)</f>
        <v>-24171.327264000003</v>
      </c>
    </row>
    <row r="93" spans="2:20" ht="20.100000000000001" customHeight="1" thickTop="1">
      <c r="D93" s="73"/>
      <c r="E93" s="73"/>
      <c r="F93" s="283"/>
      <c r="G93" s="462"/>
      <c r="H93" s="293"/>
      <c r="I93" s="73"/>
      <c r="J93" s="281"/>
      <c r="K93" s="281"/>
      <c r="L93" s="281"/>
      <c r="M93" s="281"/>
      <c r="N93" s="281"/>
      <c r="O93" s="281"/>
      <c r="P93" s="281"/>
      <c r="Q93" s="73"/>
      <c r="R93" s="281"/>
      <c r="T93" s="281"/>
    </row>
    <row r="94" spans="2:20" ht="33.75">
      <c r="B94" s="48" t="s">
        <v>266</v>
      </c>
      <c r="C94" s="48"/>
      <c r="D94" s="86"/>
      <c r="E94" s="48"/>
      <c r="F94" s="284"/>
      <c r="G94" s="463"/>
      <c r="H94" s="294" t="s">
        <v>267</v>
      </c>
      <c r="I94" s="88"/>
      <c r="J94" s="313" t="s">
        <v>268</v>
      </c>
      <c r="K94" s="313"/>
      <c r="L94" s="313"/>
      <c r="M94" s="313"/>
      <c r="N94" s="313"/>
      <c r="O94" s="313"/>
      <c r="P94" s="313"/>
      <c r="Q94" s="48"/>
      <c r="R94" s="284"/>
      <c r="T94" s="284"/>
    </row>
    <row r="95" spans="2:20" ht="6" customHeight="1">
      <c r="G95" s="464"/>
      <c r="H95" s="295"/>
      <c r="I95" s="88"/>
    </row>
    <row r="96" spans="2:20" s="89" customFormat="1" ht="20.25" customHeight="1">
      <c r="B96" s="89" t="s">
        <v>280</v>
      </c>
      <c r="F96" s="285"/>
      <c r="G96" s="465"/>
      <c r="H96" s="296">
        <f>R92</f>
        <v>601469.40960000013</v>
      </c>
      <c r="I96" s="90"/>
      <c r="J96" s="449" t="s">
        <v>509</v>
      </c>
      <c r="K96" s="449"/>
      <c r="L96" s="449"/>
      <c r="M96" s="449"/>
      <c r="N96" s="449"/>
      <c r="O96" s="449"/>
      <c r="P96" s="449"/>
      <c r="Q96" s="449"/>
      <c r="R96" s="449"/>
      <c r="T96" s="285"/>
    </row>
    <row r="97" spans="2:25" s="89" customFormat="1" ht="21.95" customHeight="1">
      <c r="B97" s="89" t="s">
        <v>293</v>
      </c>
      <c r="F97" s="285"/>
      <c r="G97" s="465"/>
      <c r="H97" s="297">
        <f>'کنترل قرارداد (5)'!H96</f>
        <v>579834.45140000014</v>
      </c>
      <c r="I97" s="90"/>
      <c r="J97" s="449"/>
      <c r="K97" s="449"/>
      <c r="L97" s="449"/>
      <c r="M97" s="449"/>
      <c r="N97" s="449"/>
      <c r="O97" s="449"/>
      <c r="P97" s="449"/>
      <c r="Q97" s="449"/>
      <c r="R97" s="449"/>
      <c r="T97" s="285"/>
    </row>
    <row r="98" spans="2:25" s="89" customFormat="1" ht="21.95" customHeight="1">
      <c r="B98" s="89" t="s">
        <v>494</v>
      </c>
      <c r="F98" s="285"/>
      <c r="G98" s="465"/>
      <c r="H98" s="296">
        <f>H96-H97</f>
        <v>21634.958199999994</v>
      </c>
      <c r="I98" s="90"/>
      <c r="J98" s="449"/>
      <c r="K98" s="449"/>
      <c r="L98" s="449"/>
      <c r="M98" s="449"/>
      <c r="N98" s="449"/>
      <c r="O98" s="449"/>
      <c r="P98" s="449"/>
      <c r="Q98" s="449"/>
      <c r="R98" s="449"/>
      <c r="T98" s="285"/>
    </row>
    <row r="99" spans="2:25" ht="21.95" customHeight="1">
      <c r="B99" s="92" t="s">
        <v>269</v>
      </c>
      <c r="C99" s="92"/>
      <c r="D99" s="89"/>
      <c r="E99" s="92"/>
      <c r="F99" s="285"/>
      <c r="G99" s="465"/>
      <c r="H99" s="298">
        <f>(H98*9%)</f>
        <v>1947.1462379999994</v>
      </c>
      <c r="I99" s="93"/>
      <c r="J99" s="449"/>
      <c r="K99" s="449"/>
      <c r="L99" s="449"/>
      <c r="M99" s="449"/>
      <c r="N99" s="449"/>
      <c r="O99" s="449"/>
      <c r="P99" s="449"/>
      <c r="Q99" s="449"/>
      <c r="R99" s="449"/>
      <c r="V99" s="49">
        <v>12942.176023170003</v>
      </c>
      <c r="X99" s="49">
        <v>12942.18</v>
      </c>
      <c r="Y99" s="49">
        <v>3.9768299975548897E-3</v>
      </c>
    </row>
    <row r="100" spans="2:25" ht="21.95" customHeight="1">
      <c r="B100" s="268"/>
      <c r="C100" s="268"/>
      <c r="E100" s="268"/>
      <c r="G100" s="464"/>
      <c r="H100" s="299"/>
      <c r="I100" s="269"/>
      <c r="J100" s="449"/>
      <c r="K100" s="449"/>
      <c r="L100" s="449"/>
      <c r="M100" s="449"/>
      <c r="N100" s="449"/>
      <c r="O100" s="449"/>
      <c r="P100" s="449"/>
      <c r="Q100" s="449"/>
      <c r="R100" s="449"/>
    </row>
    <row r="101" spans="2:25" ht="21.95" customHeight="1" thickBot="1">
      <c r="B101" s="94" t="s">
        <v>308</v>
      </c>
      <c r="C101" s="92"/>
      <c r="D101" s="89"/>
      <c r="E101" s="92"/>
      <c r="F101" s="285"/>
      <c r="G101" s="465"/>
      <c r="H101" s="300">
        <f>SUM(H98:H99)</f>
        <v>23582.104437999995</v>
      </c>
      <c r="I101" s="93"/>
      <c r="J101" s="449"/>
      <c r="K101" s="449"/>
      <c r="L101" s="449"/>
      <c r="M101" s="449"/>
      <c r="N101" s="449"/>
      <c r="O101" s="449"/>
      <c r="P101" s="449"/>
      <c r="Q101" s="449"/>
      <c r="R101" s="449"/>
    </row>
    <row r="102" spans="2:25" ht="21.95" customHeight="1" thickTop="1">
      <c r="B102" s="94"/>
      <c r="C102" s="92"/>
      <c r="D102" s="89"/>
      <c r="E102" s="92"/>
      <c r="F102" s="285"/>
      <c r="G102" s="465"/>
      <c r="H102" s="301"/>
      <c r="I102" s="93"/>
      <c r="J102" s="449"/>
      <c r="K102" s="449"/>
      <c r="L102" s="449"/>
      <c r="M102" s="449"/>
      <c r="N102" s="449"/>
      <c r="O102" s="449"/>
      <c r="P102" s="449"/>
      <c r="Q102" s="449"/>
      <c r="R102" s="449"/>
    </row>
    <row r="103" spans="2:25" ht="21.95" customHeight="1">
      <c r="B103" s="92" t="s">
        <v>493</v>
      </c>
      <c r="C103" s="92"/>
      <c r="D103" s="89"/>
      <c r="E103" s="92"/>
      <c r="F103" s="285"/>
      <c r="G103" s="465"/>
      <c r="H103" s="302">
        <f>H98-5.63</f>
        <v>21629.328199999993</v>
      </c>
      <c r="J103" s="449"/>
      <c r="K103" s="449"/>
      <c r="L103" s="449"/>
      <c r="M103" s="449"/>
      <c r="N103" s="449"/>
      <c r="O103" s="449"/>
      <c r="P103" s="449"/>
      <c r="Q103" s="449"/>
      <c r="R103" s="449"/>
    </row>
    <row r="104" spans="2:25" ht="21.95" customHeight="1">
      <c r="B104" s="92" t="s">
        <v>269</v>
      </c>
      <c r="C104" s="92"/>
      <c r="D104" s="89"/>
      <c r="E104" s="92"/>
      <c r="F104" s="285"/>
      <c r="G104" s="465"/>
      <c r="H104" s="298">
        <f>(H103*9%)</f>
        <v>1946.6395379999992</v>
      </c>
      <c r="I104" s="93"/>
      <c r="J104" s="449"/>
      <c r="K104" s="449"/>
      <c r="L104" s="449"/>
      <c r="M104" s="449"/>
      <c r="N104" s="449"/>
      <c r="O104" s="449"/>
      <c r="P104" s="449"/>
      <c r="Q104" s="449"/>
      <c r="R104" s="449"/>
      <c r="V104" s="49">
        <v>12942.176023170003</v>
      </c>
      <c r="X104" s="49">
        <v>12942.18</v>
      </c>
      <c r="Y104" s="49">
        <v>3.9768299975548897E-3</v>
      </c>
    </row>
    <row r="105" spans="2:25" ht="21.95" customHeight="1">
      <c r="B105" s="89" t="s">
        <v>270</v>
      </c>
      <c r="C105" s="89"/>
      <c r="D105" s="89"/>
      <c r="E105" s="89"/>
      <c r="F105" s="285"/>
      <c r="G105" s="466"/>
      <c r="H105" s="303">
        <f>SUM(H103:H104)</f>
        <v>23575.967737999992</v>
      </c>
      <c r="J105" s="449"/>
      <c r="K105" s="449"/>
      <c r="L105" s="449"/>
      <c r="M105" s="449"/>
      <c r="N105" s="449"/>
      <c r="O105" s="449"/>
      <c r="P105" s="449"/>
      <c r="Q105" s="449"/>
      <c r="R105" s="449"/>
    </row>
    <row r="106" spans="2:25" ht="21.95" customHeight="1">
      <c r="B106" s="89" t="s">
        <v>302</v>
      </c>
      <c r="C106" s="89"/>
      <c r="D106" s="89"/>
      <c r="E106" s="89"/>
      <c r="F106" s="285"/>
      <c r="G106" s="466"/>
      <c r="H106" s="304">
        <v>0</v>
      </c>
      <c r="J106" s="449"/>
      <c r="K106" s="449"/>
      <c r="L106" s="449"/>
      <c r="M106" s="449"/>
      <c r="N106" s="449"/>
      <c r="O106" s="449"/>
      <c r="P106" s="449"/>
      <c r="Q106" s="449"/>
      <c r="R106" s="449"/>
    </row>
    <row r="107" spans="2:25" ht="21.95" customHeight="1" thickBot="1">
      <c r="B107" s="94" t="s">
        <v>492</v>
      </c>
      <c r="C107" s="89"/>
      <c r="D107" s="89"/>
      <c r="E107" s="89"/>
      <c r="F107" s="285"/>
      <c r="G107" s="466"/>
      <c r="H107" s="305">
        <f>SUM(H105:H106)</f>
        <v>23575.967737999992</v>
      </c>
      <c r="J107" s="449"/>
      <c r="K107" s="449"/>
      <c r="L107" s="449"/>
      <c r="M107" s="449"/>
      <c r="N107" s="449"/>
      <c r="O107" s="449"/>
      <c r="P107" s="449"/>
      <c r="Q107" s="449"/>
      <c r="R107" s="449"/>
    </row>
    <row r="108" spans="2:25" ht="21.95" customHeight="1" thickTop="1">
      <c r="B108" s="89"/>
      <c r="C108" s="89"/>
      <c r="D108" s="89"/>
      <c r="E108" s="89"/>
      <c r="F108" s="285"/>
      <c r="G108" s="466"/>
      <c r="H108" s="306"/>
      <c r="J108" s="449"/>
      <c r="K108" s="449"/>
      <c r="L108" s="449"/>
      <c r="M108" s="449"/>
      <c r="N108" s="449"/>
      <c r="O108" s="449"/>
      <c r="P108" s="449"/>
      <c r="Q108" s="449"/>
      <c r="R108" s="449"/>
    </row>
    <row r="109" spans="2:25" ht="21.95" customHeight="1">
      <c r="B109" s="89"/>
      <c r="C109" s="89"/>
      <c r="D109" s="89"/>
      <c r="E109" s="89"/>
      <c r="F109" s="285"/>
      <c r="G109" s="467"/>
      <c r="H109" s="303"/>
      <c r="J109" s="449"/>
      <c r="K109" s="449"/>
      <c r="L109" s="449"/>
      <c r="M109" s="449"/>
      <c r="N109" s="449"/>
      <c r="O109" s="449"/>
      <c r="P109" s="449"/>
      <c r="Q109" s="449"/>
      <c r="R109" s="449"/>
    </row>
    <row r="110" spans="2:25" ht="21.95" customHeight="1">
      <c r="B110" s="89"/>
      <c r="C110" s="89"/>
      <c r="D110" s="89"/>
      <c r="E110" s="89"/>
      <c r="F110" s="285"/>
      <c r="G110" s="467"/>
      <c r="H110" s="303"/>
      <c r="J110" s="449"/>
      <c r="K110" s="449"/>
      <c r="L110" s="449"/>
      <c r="M110" s="449"/>
      <c r="N110" s="449"/>
      <c r="O110" s="449"/>
      <c r="P110" s="449"/>
      <c r="Q110" s="449"/>
      <c r="R110" s="449"/>
    </row>
    <row r="111" spans="2:25" ht="21.95" customHeight="1">
      <c r="J111" s="449"/>
      <c r="K111" s="449"/>
      <c r="L111" s="449"/>
      <c r="M111" s="449"/>
      <c r="N111" s="449"/>
      <c r="O111" s="449"/>
      <c r="P111" s="449"/>
      <c r="Q111" s="449"/>
      <c r="R111" s="449"/>
    </row>
    <row r="112" spans="2:25" ht="21.95" customHeight="1">
      <c r="J112" s="449"/>
      <c r="K112" s="449"/>
      <c r="L112" s="449"/>
      <c r="M112" s="449"/>
      <c r="N112" s="449"/>
      <c r="O112" s="449"/>
      <c r="P112" s="449"/>
      <c r="Q112" s="449"/>
      <c r="R112" s="449"/>
    </row>
    <row r="113" spans="10:18" ht="19.5" customHeight="1">
      <c r="J113" s="314"/>
      <c r="K113" s="314"/>
      <c r="L113" s="314"/>
      <c r="M113" s="314"/>
      <c r="N113" s="314"/>
      <c r="O113" s="314"/>
      <c r="P113" s="314"/>
      <c r="Q113" s="201"/>
      <c r="R113" s="314"/>
    </row>
    <row r="114" spans="10:18" ht="19.5" customHeight="1">
      <c r="J114" s="314"/>
      <c r="K114" s="314"/>
      <c r="L114" s="314"/>
      <c r="M114" s="314"/>
      <c r="N114" s="314"/>
      <c r="O114" s="314"/>
      <c r="P114" s="314"/>
      <c r="Q114" s="201"/>
      <c r="R114" s="314"/>
    </row>
    <row r="115" spans="10:18" ht="19.5" customHeight="1">
      <c r="J115" s="314"/>
      <c r="K115" s="314"/>
      <c r="L115" s="314"/>
      <c r="M115" s="314"/>
      <c r="N115" s="314"/>
      <c r="O115" s="314"/>
      <c r="P115" s="314"/>
      <c r="Q115" s="201"/>
      <c r="R115" s="314"/>
    </row>
    <row r="116" spans="10:18" ht="19.5" customHeight="1">
      <c r="J116" s="314"/>
      <c r="K116" s="314"/>
      <c r="L116" s="314"/>
      <c r="M116" s="314"/>
      <c r="N116" s="314"/>
      <c r="O116" s="314"/>
      <c r="P116" s="314"/>
      <c r="Q116" s="201"/>
      <c r="R116" s="314"/>
    </row>
  </sheetData>
  <autoFilter ref="A5:T90" xr:uid="{2677F53A-618D-4F2A-ACD6-49F1DBDD5742}"/>
  <mergeCells count="1">
    <mergeCell ref="J96:R112"/>
  </mergeCells>
  <printOptions horizontalCentered="1"/>
  <pageMargins left="0" right="0" top="0.75" bottom="0.35" header="0.3" footer="0.3"/>
  <pageSetup scale="44" fitToHeight="0" orientation="portrait" r:id="rId1"/>
  <headerFooter>
    <oddFooter>&amp;Cصفحه &amp;P از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D2CA-9BAC-4504-B21F-FD9658F0F3D7}">
  <sheetPr>
    <pageSetUpPr fitToPage="1"/>
  </sheetPr>
  <dimension ref="B1:Y116"/>
  <sheetViews>
    <sheetView rightToLeft="1" view="pageBreakPreview" zoomScale="112" zoomScaleNormal="100" zoomScaleSheetLayoutView="112" workbookViewId="0">
      <selection activeCell="J7" sqref="J7"/>
    </sheetView>
  </sheetViews>
  <sheetFormatPr defaultColWidth="9.140625" defaultRowHeight="19.5"/>
  <cols>
    <col min="1" max="1" width="2.7109375" style="49" customWidth="1"/>
    <col min="2" max="2" width="5.7109375" style="49" customWidth="1"/>
    <col min="3" max="3" width="12.140625" style="49" bestFit="1" customWidth="1"/>
    <col min="4" max="4" width="60.5703125" style="49" customWidth="1"/>
    <col min="5" max="5" width="5" style="49" bestFit="1" customWidth="1"/>
    <col min="6" max="6" width="11.5703125" style="273" bestFit="1" customWidth="1"/>
    <col min="7" max="7" width="9.140625" style="50" customWidth="1"/>
    <col min="8" max="8" width="12.7109375" style="287" customWidth="1"/>
    <col min="9" max="9" width="1.7109375" style="49" customWidth="1"/>
    <col min="10" max="10" width="13.28515625" style="273" bestFit="1" customWidth="1"/>
    <col min="11" max="15" width="10.5703125" style="273" customWidth="1"/>
    <col min="16" max="16" width="12.42578125" style="273" customWidth="1"/>
    <col min="17" max="17" width="9.7109375" style="49" customWidth="1"/>
    <col min="18" max="18" width="11.5703125" style="273" customWidth="1"/>
    <col min="19" max="19" width="1.7109375" style="49" customWidth="1"/>
    <col min="20" max="20" width="12" style="273" customWidth="1"/>
    <col min="21" max="25" width="9.140625" style="49" customWidth="1"/>
    <col min="26" max="16384" width="9.140625" style="49"/>
  </cols>
  <sheetData>
    <row r="1" spans="2:21" s="45" customFormat="1" ht="27.95" customHeight="1">
      <c r="B1" s="44" t="s">
        <v>286</v>
      </c>
      <c r="C1" s="44"/>
      <c r="E1" s="44"/>
      <c r="F1" s="272"/>
      <c r="G1" s="46"/>
      <c r="H1" s="286"/>
      <c r="J1" s="272"/>
      <c r="K1" s="272"/>
      <c r="L1" s="272"/>
      <c r="M1" s="272"/>
      <c r="N1" s="272"/>
      <c r="O1" s="272"/>
      <c r="P1" s="272"/>
      <c r="R1" s="315" t="s">
        <v>284</v>
      </c>
      <c r="T1" s="315"/>
    </row>
    <row r="2" spans="2:21" s="45" customFormat="1" ht="27.95" customHeight="1">
      <c r="B2" s="44" t="s">
        <v>254</v>
      </c>
      <c r="C2" s="44"/>
      <c r="E2" s="44"/>
      <c r="F2" s="272"/>
      <c r="G2" s="46"/>
      <c r="H2" s="286"/>
      <c r="J2" s="272"/>
      <c r="K2" s="272"/>
      <c r="L2" s="272"/>
      <c r="M2" s="272"/>
      <c r="N2" s="272"/>
      <c r="O2" s="272"/>
      <c r="P2" s="272"/>
      <c r="R2" s="315" t="s">
        <v>278</v>
      </c>
      <c r="T2" s="315"/>
    </row>
    <row r="3" spans="2:21" s="45" customFormat="1" ht="27.95" customHeight="1">
      <c r="B3" s="44" t="s">
        <v>285</v>
      </c>
      <c r="C3" s="44"/>
      <c r="E3" s="44"/>
      <c r="F3" s="272"/>
      <c r="G3" s="138"/>
      <c r="H3" s="286"/>
      <c r="J3" s="272"/>
      <c r="K3" s="272"/>
      <c r="L3" s="272"/>
      <c r="M3" s="272"/>
      <c r="N3" s="272"/>
      <c r="O3" s="272"/>
      <c r="P3" s="272"/>
      <c r="R3" s="315" t="s">
        <v>490</v>
      </c>
      <c r="T3" s="315"/>
    </row>
    <row r="4" spans="2:21" ht="6" customHeight="1"/>
    <row r="5" spans="2:21" s="332" customFormat="1" ht="108.75">
      <c r="B5" s="325" t="s">
        <v>255</v>
      </c>
      <c r="C5" s="325" t="s">
        <v>256</v>
      </c>
      <c r="D5" s="325" t="s">
        <v>257</v>
      </c>
      <c r="E5" s="326" t="s">
        <v>258</v>
      </c>
      <c r="F5" s="327" t="s">
        <v>259</v>
      </c>
      <c r="G5" s="326" t="s">
        <v>260</v>
      </c>
      <c r="H5" s="328" t="s">
        <v>261</v>
      </c>
      <c r="I5" s="329"/>
      <c r="J5" s="324" t="s">
        <v>288</v>
      </c>
      <c r="K5" s="324" t="s">
        <v>289</v>
      </c>
      <c r="L5" s="324" t="s">
        <v>299</v>
      </c>
      <c r="M5" s="324" t="s">
        <v>300</v>
      </c>
      <c r="N5" s="393" t="s">
        <v>498</v>
      </c>
      <c r="O5" s="324" t="s">
        <v>491</v>
      </c>
      <c r="P5" s="324" t="s">
        <v>292</v>
      </c>
      <c r="Q5" s="330" t="s">
        <v>283</v>
      </c>
      <c r="R5" s="331" t="s">
        <v>295</v>
      </c>
      <c r="T5" s="331" t="s">
        <v>305</v>
      </c>
    </row>
    <row r="6" spans="2:21" s="336" customFormat="1" ht="21.75" customHeight="1">
      <c r="B6" s="58">
        <v>1</v>
      </c>
      <c r="C6" s="333" t="s">
        <v>118</v>
      </c>
      <c r="D6" s="334" t="s">
        <v>119</v>
      </c>
      <c r="E6" s="59" t="s">
        <v>273</v>
      </c>
      <c r="F6" s="274">
        <v>277.5</v>
      </c>
      <c r="G6" s="60">
        <v>1.077</v>
      </c>
      <c r="H6" s="288">
        <f>F6*G6</f>
        <v>298.86750000000001</v>
      </c>
      <c r="I6" s="335"/>
      <c r="J6" s="307">
        <v>0</v>
      </c>
      <c r="K6" s="307">
        <v>0</v>
      </c>
      <c r="L6" s="307">
        <v>0</v>
      </c>
      <c r="M6" s="307">
        <v>277.5</v>
      </c>
      <c r="N6" s="307">
        <v>0</v>
      </c>
      <c r="O6" s="307">
        <v>0</v>
      </c>
      <c r="P6" s="307">
        <f>SUM(J6:O6)</f>
        <v>277.5</v>
      </c>
      <c r="Q6" s="157">
        <f t="shared" ref="Q6:Q69" si="0">P6/F6</f>
        <v>1</v>
      </c>
      <c r="R6" s="316">
        <f t="shared" ref="R6:R69" si="1">P6*G6</f>
        <v>298.86750000000001</v>
      </c>
      <c r="T6" s="316">
        <f t="shared" ref="T6:T69" si="2">(F6-P6)*G6</f>
        <v>0</v>
      </c>
    </row>
    <row r="7" spans="2:21" s="336" customFormat="1" ht="21.75" customHeight="1">
      <c r="B7" s="65">
        <v>2</v>
      </c>
      <c r="C7" s="337" t="s">
        <v>35</v>
      </c>
      <c r="D7" s="338" t="s">
        <v>120</v>
      </c>
      <c r="E7" s="66" t="s">
        <v>273</v>
      </c>
      <c r="F7" s="275">
        <v>22</v>
      </c>
      <c r="G7" s="67">
        <v>1.508</v>
      </c>
      <c r="H7" s="289">
        <f>F7*G7</f>
        <v>33.176000000000002</v>
      </c>
      <c r="I7" s="335"/>
      <c r="J7" s="308">
        <v>22</v>
      </c>
      <c r="K7" s="308">
        <v>0</v>
      </c>
      <c r="L7" s="308">
        <v>0</v>
      </c>
      <c r="M7" s="308">
        <v>0</v>
      </c>
      <c r="N7" s="308">
        <v>0</v>
      </c>
      <c r="O7" s="309">
        <v>0</v>
      </c>
      <c r="P7" s="307">
        <f t="shared" ref="P7:P70" si="3">SUM(J7:O7)</f>
        <v>22</v>
      </c>
      <c r="Q7" s="158">
        <f t="shared" si="0"/>
        <v>1</v>
      </c>
      <c r="R7" s="317">
        <f t="shared" si="1"/>
        <v>33.176000000000002</v>
      </c>
      <c r="T7" s="317">
        <f t="shared" si="2"/>
        <v>0</v>
      </c>
    </row>
    <row r="8" spans="2:21" s="336" customFormat="1" ht="21.75" customHeight="1">
      <c r="B8" s="65">
        <v>3</v>
      </c>
      <c r="C8" s="337" t="s">
        <v>37</v>
      </c>
      <c r="D8" s="338" t="s">
        <v>121</v>
      </c>
      <c r="E8" s="66" t="s">
        <v>273</v>
      </c>
      <c r="F8" s="275">
        <v>1.5</v>
      </c>
      <c r="G8" s="67">
        <v>2.2970000000000002</v>
      </c>
      <c r="H8" s="289">
        <f t="shared" ref="H8:H71" si="4">F8*G8</f>
        <v>3.4455</v>
      </c>
      <c r="I8" s="335"/>
      <c r="J8" s="308">
        <v>1.5</v>
      </c>
      <c r="K8" s="308">
        <v>0</v>
      </c>
      <c r="L8" s="308">
        <v>0</v>
      </c>
      <c r="M8" s="308">
        <v>0</v>
      </c>
      <c r="N8" s="308">
        <v>0</v>
      </c>
      <c r="O8" s="309">
        <v>0</v>
      </c>
      <c r="P8" s="307">
        <f t="shared" si="3"/>
        <v>1.5</v>
      </c>
      <c r="Q8" s="158">
        <f t="shared" si="0"/>
        <v>1</v>
      </c>
      <c r="R8" s="317">
        <f t="shared" si="1"/>
        <v>3.4455</v>
      </c>
      <c r="T8" s="317">
        <f t="shared" si="2"/>
        <v>0</v>
      </c>
    </row>
    <row r="9" spans="2:21" s="336" customFormat="1" ht="21.75" customHeight="1">
      <c r="B9" s="65">
        <v>4</v>
      </c>
      <c r="C9" s="337" t="s">
        <v>48</v>
      </c>
      <c r="D9" s="338" t="s">
        <v>122</v>
      </c>
      <c r="E9" s="66" t="s">
        <v>273</v>
      </c>
      <c r="F9" s="275">
        <v>1558</v>
      </c>
      <c r="G9" s="67">
        <v>1.149</v>
      </c>
      <c r="H9" s="289">
        <f t="shared" si="4"/>
        <v>1790.1420000000001</v>
      </c>
      <c r="I9" s="335"/>
      <c r="J9" s="308">
        <v>1558</v>
      </c>
      <c r="K9" s="308">
        <v>0</v>
      </c>
      <c r="L9" s="308">
        <v>0</v>
      </c>
      <c r="M9" s="308">
        <v>0</v>
      </c>
      <c r="N9" s="308">
        <v>0</v>
      </c>
      <c r="O9" s="309">
        <v>0</v>
      </c>
      <c r="P9" s="307">
        <f t="shared" si="3"/>
        <v>1558</v>
      </c>
      <c r="Q9" s="158">
        <f t="shared" si="0"/>
        <v>1</v>
      </c>
      <c r="R9" s="317">
        <f t="shared" si="1"/>
        <v>1790.1420000000001</v>
      </c>
      <c r="T9" s="317">
        <f t="shared" si="2"/>
        <v>0</v>
      </c>
    </row>
    <row r="10" spans="2:21" s="336" customFormat="1" ht="21.75" customHeight="1">
      <c r="B10" s="65">
        <v>5</v>
      </c>
      <c r="C10" s="337" t="s">
        <v>50</v>
      </c>
      <c r="D10" s="338" t="s">
        <v>123</v>
      </c>
      <c r="E10" s="66" t="s">
        <v>273</v>
      </c>
      <c r="F10" s="275">
        <v>122.5</v>
      </c>
      <c r="G10" s="67">
        <v>1.7230000000000001</v>
      </c>
      <c r="H10" s="289">
        <f t="shared" si="4"/>
        <v>211.06750000000002</v>
      </c>
      <c r="I10" s="335"/>
      <c r="J10" s="308">
        <v>122.5</v>
      </c>
      <c r="K10" s="308">
        <v>0</v>
      </c>
      <c r="L10" s="308">
        <v>0</v>
      </c>
      <c r="M10" s="308">
        <v>0</v>
      </c>
      <c r="N10" s="308">
        <v>0</v>
      </c>
      <c r="O10" s="372">
        <f>'Packing List Items'!R160</f>
        <v>68</v>
      </c>
      <c r="P10" s="373">
        <f>SUM(J10:O10)-O10</f>
        <v>122.5</v>
      </c>
      <c r="Q10" s="158">
        <f t="shared" si="0"/>
        <v>1</v>
      </c>
      <c r="R10" s="317">
        <f t="shared" si="1"/>
        <v>211.06750000000002</v>
      </c>
      <c r="T10" s="317">
        <f t="shared" si="2"/>
        <v>0</v>
      </c>
    </row>
    <row r="11" spans="2:21" s="336" customFormat="1" ht="21.75" customHeight="1">
      <c r="B11" s="65">
        <v>6</v>
      </c>
      <c r="C11" s="337" t="s">
        <v>52</v>
      </c>
      <c r="D11" s="338" t="s">
        <v>124</v>
      </c>
      <c r="E11" s="66" t="s">
        <v>273</v>
      </c>
      <c r="F11" s="275">
        <v>4.5</v>
      </c>
      <c r="G11" s="67">
        <v>2.44</v>
      </c>
      <c r="H11" s="289">
        <f t="shared" si="4"/>
        <v>10.98</v>
      </c>
      <c r="I11" s="335"/>
      <c r="J11" s="308">
        <v>4.5</v>
      </c>
      <c r="K11" s="308">
        <v>0</v>
      </c>
      <c r="L11" s="308">
        <v>0</v>
      </c>
      <c r="M11" s="308">
        <v>0</v>
      </c>
      <c r="N11" s="308">
        <v>0</v>
      </c>
      <c r="O11" s="309">
        <v>0</v>
      </c>
      <c r="P11" s="307">
        <f t="shared" si="3"/>
        <v>4.5</v>
      </c>
      <c r="Q11" s="158">
        <f t="shared" si="0"/>
        <v>1</v>
      </c>
      <c r="R11" s="317">
        <f t="shared" si="1"/>
        <v>10.98</v>
      </c>
      <c r="T11" s="317">
        <f t="shared" si="2"/>
        <v>0</v>
      </c>
    </row>
    <row r="12" spans="2:21" s="336" customFormat="1" ht="21.75" customHeight="1">
      <c r="B12" s="65">
        <v>7</v>
      </c>
      <c r="C12" s="337" t="s">
        <v>125</v>
      </c>
      <c r="D12" s="338" t="s">
        <v>126</v>
      </c>
      <c r="E12" s="66" t="s">
        <v>273</v>
      </c>
      <c r="F12" s="276">
        <v>1104.5</v>
      </c>
      <c r="G12" s="67">
        <v>1.1919999999999999</v>
      </c>
      <c r="H12" s="289">
        <f t="shared" si="4"/>
        <v>1316.5639999999999</v>
      </c>
      <c r="I12" s="335"/>
      <c r="J12" s="308">
        <v>0</v>
      </c>
      <c r="K12" s="308">
        <v>0</v>
      </c>
      <c r="L12" s="308">
        <f>600+504.5</f>
        <v>1104.5</v>
      </c>
      <c r="M12" s="308">
        <v>0</v>
      </c>
      <c r="N12" s="364">
        <f>'Packing List Items'!R159+'Packing List Items'!R166+'Packing List Items'!R167</f>
        <v>3000</v>
      </c>
      <c r="O12" s="372">
        <f>'Packing List Items'!R149</f>
        <v>994</v>
      </c>
      <c r="P12" s="373">
        <f>SUM(J12:O12)-O12</f>
        <v>4104.5</v>
      </c>
      <c r="Q12" s="271">
        <f t="shared" si="0"/>
        <v>3.716161158895428</v>
      </c>
      <c r="R12" s="317">
        <f t="shared" si="1"/>
        <v>4892.5639999999994</v>
      </c>
      <c r="T12" s="365">
        <f t="shared" si="2"/>
        <v>-3576</v>
      </c>
      <c r="U12" s="336">
        <f>N12*G12</f>
        <v>3576</v>
      </c>
    </row>
    <row r="13" spans="2:21" s="336" customFormat="1" ht="21.75" customHeight="1">
      <c r="B13" s="65">
        <v>8</v>
      </c>
      <c r="C13" s="337" t="s">
        <v>127</v>
      </c>
      <c r="D13" s="338" t="s">
        <v>128</v>
      </c>
      <c r="E13" s="66" t="s">
        <v>273</v>
      </c>
      <c r="F13" s="275">
        <v>323.5</v>
      </c>
      <c r="G13" s="67">
        <v>1.7949999999999999</v>
      </c>
      <c r="H13" s="289">
        <f t="shared" si="4"/>
        <v>580.6825</v>
      </c>
      <c r="I13" s="335"/>
      <c r="J13" s="308">
        <v>0</v>
      </c>
      <c r="K13" s="308">
        <v>0</v>
      </c>
      <c r="L13" s="308">
        <v>0</v>
      </c>
      <c r="M13" s="308">
        <v>323.5</v>
      </c>
      <c r="N13" s="308">
        <v>0</v>
      </c>
      <c r="O13" s="309">
        <v>0</v>
      </c>
      <c r="P13" s="307">
        <f t="shared" si="3"/>
        <v>323.5</v>
      </c>
      <c r="Q13" s="158">
        <f t="shared" si="0"/>
        <v>1</v>
      </c>
      <c r="R13" s="317">
        <f t="shared" si="1"/>
        <v>580.6825</v>
      </c>
      <c r="T13" s="317">
        <f t="shared" si="2"/>
        <v>0</v>
      </c>
      <c r="U13" s="336">
        <v>720</v>
      </c>
    </row>
    <row r="14" spans="2:21" s="336" customFormat="1" ht="21.75" customHeight="1">
      <c r="B14" s="65">
        <v>9</v>
      </c>
      <c r="C14" s="337" t="s">
        <v>39</v>
      </c>
      <c r="D14" s="338" t="s">
        <v>129</v>
      </c>
      <c r="E14" s="66" t="s">
        <v>273</v>
      </c>
      <c r="F14" s="275">
        <v>3.5</v>
      </c>
      <c r="G14" s="67">
        <v>2.6560000000000001</v>
      </c>
      <c r="H14" s="289">
        <f t="shared" si="4"/>
        <v>9.2960000000000012</v>
      </c>
      <c r="I14" s="335"/>
      <c r="J14" s="308">
        <v>3.5</v>
      </c>
      <c r="K14" s="308">
        <v>0</v>
      </c>
      <c r="L14" s="308">
        <v>0</v>
      </c>
      <c r="M14" s="308">
        <v>0</v>
      </c>
      <c r="N14" s="308">
        <v>0</v>
      </c>
      <c r="O14" s="309">
        <v>0</v>
      </c>
      <c r="P14" s="307">
        <f t="shared" si="3"/>
        <v>3.5</v>
      </c>
      <c r="Q14" s="158">
        <f t="shared" si="0"/>
        <v>1</v>
      </c>
      <c r="R14" s="317">
        <f t="shared" si="1"/>
        <v>9.2960000000000012</v>
      </c>
      <c r="T14" s="317">
        <f t="shared" si="2"/>
        <v>0</v>
      </c>
      <c r="U14" s="336">
        <v>300</v>
      </c>
    </row>
    <row r="15" spans="2:21" s="336" customFormat="1" ht="21.75" customHeight="1">
      <c r="B15" s="65">
        <v>10</v>
      </c>
      <c r="C15" s="337" t="s">
        <v>130</v>
      </c>
      <c r="D15" s="338" t="s">
        <v>131</v>
      </c>
      <c r="E15" s="66" t="s">
        <v>273</v>
      </c>
      <c r="F15" s="275">
        <v>1697.5</v>
      </c>
      <c r="G15" s="67">
        <v>1.508</v>
      </c>
      <c r="H15" s="289">
        <f t="shared" si="4"/>
        <v>2559.83</v>
      </c>
      <c r="I15" s="335"/>
      <c r="J15" s="308">
        <v>0</v>
      </c>
      <c r="K15" s="308">
        <v>0</v>
      </c>
      <c r="L15" s="308">
        <v>0</v>
      </c>
      <c r="M15" s="308">
        <f>516+540+641.5</f>
        <v>1697.5</v>
      </c>
      <c r="N15" s="308">
        <v>0</v>
      </c>
      <c r="O15" s="309">
        <v>0</v>
      </c>
      <c r="P15" s="307">
        <f t="shared" si="3"/>
        <v>1697.5</v>
      </c>
      <c r="Q15" s="158">
        <f t="shared" si="0"/>
        <v>1</v>
      </c>
      <c r="R15" s="317">
        <f t="shared" si="1"/>
        <v>2559.83</v>
      </c>
      <c r="T15" s="317">
        <f t="shared" si="2"/>
        <v>0</v>
      </c>
      <c r="U15" s="336">
        <v>700</v>
      </c>
    </row>
    <row r="16" spans="2:21" s="336" customFormat="1" ht="21.75" customHeight="1">
      <c r="B16" s="65">
        <v>11</v>
      </c>
      <c r="C16" s="337" t="s">
        <v>132</v>
      </c>
      <c r="D16" s="338" t="s">
        <v>133</v>
      </c>
      <c r="E16" s="66" t="s">
        <v>273</v>
      </c>
      <c r="F16" s="275">
        <v>131</v>
      </c>
      <c r="G16" s="67">
        <v>2.1040000000000001</v>
      </c>
      <c r="H16" s="289">
        <f t="shared" si="4"/>
        <v>275.62400000000002</v>
      </c>
      <c r="I16" s="335"/>
      <c r="J16" s="308">
        <v>0</v>
      </c>
      <c r="K16" s="308">
        <v>0</v>
      </c>
      <c r="L16" s="308">
        <v>131</v>
      </c>
      <c r="M16" s="308">
        <v>0</v>
      </c>
      <c r="N16" s="308">
        <v>0</v>
      </c>
      <c r="O16" s="309">
        <v>0</v>
      </c>
      <c r="P16" s="307">
        <f t="shared" si="3"/>
        <v>131</v>
      </c>
      <c r="Q16" s="158">
        <f t="shared" si="0"/>
        <v>1</v>
      </c>
      <c r="R16" s="317">
        <f t="shared" si="1"/>
        <v>275.62400000000002</v>
      </c>
      <c r="T16" s="317">
        <f t="shared" si="2"/>
        <v>0</v>
      </c>
    </row>
    <row r="17" spans="2:21" s="336" customFormat="1" ht="21.75" customHeight="1">
      <c r="B17" s="65">
        <v>12</v>
      </c>
      <c r="C17" s="337" t="s">
        <v>134</v>
      </c>
      <c r="D17" s="339" t="s">
        <v>135</v>
      </c>
      <c r="E17" s="66" t="s">
        <v>273</v>
      </c>
      <c r="F17" s="275">
        <v>1.5</v>
      </c>
      <c r="G17" s="67">
        <v>2.9430000000000001</v>
      </c>
      <c r="H17" s="289">
        <f t="shared" si="4"/>
        <v>4.4145000000000003</v>
      </c>
      <c r="I17" s="335"/>
      <c r="J17" s="308">
        <v>0</v>
      </c>
      <c r="K17" s="308">
        <v>0</v>
      </c>
      <c r="L17" s="308">
        <v>0</v>
      </c>
      <c r="M17" s="308">
        <v>1.5</v>
      </c>
      <c r="N17" s="308">
        <v>0</v>
      </c>
      <c r="O17" s="309">
        <v>0</v>
      </c>
      <c r="P17" s="307">
        <f t="shared" si="3"/>
        <v>1.5</v>
      </c>
      <c r="Q17" s="158">
        <f t="shared" si="0"/>
        <v>1</v>
      </c>
      <c r="R17" s="317">
        <f t="shared" si="1"/>
        <v>4.4145000000000003</v>
      </c>
      <c r="T17" s="317">
        <f t="shared" si="2"/>
        <v>0</v>
      </c>
    </row>
    <row r="18" spans="2:21" s="336" customFormat="1" ht="21.75" customHeight="1">
      <c r="B18" s="65">
        <v>13</v>
      </c>
      <c r="C18" s="337" t="s">
        <v>41</v>
      </c>
      <c r="D18" s="339" t="s">
        <v>136</v>
      </c>
      <c r="E18" s="66" t="s">
        <v>273</v>
      </c>
      <c r="F18" s="275">
        <v>2009</v>
      </c>
      <c r="G18" s="67">
        <v>1.579</v>
      </c>
      <c r="H18" s="289">
        <f t="shared" si="4"/>
        <v>3172.2109999999998</v>
      </c>
      <c r="I18" s="335"/>
      <c r="J18" s="308">
        <v>110</v>
      </c>
      <c r="K18" s="308">
        <v>0</v>
      </c>
      <c r="L18" s="308">
        <f>684+630+252+216</f>
        <v>1782</v>
      </c>
      <c r="M18" s="308">
        <v>117</v>
      </c>
      <c r="N18" s="308">
        <v>0</v>
      </c>
      <c r="O18" s="372">
        <f>'Packing List Items'!R152+'Packing List Items'!R163</f>
        <v>1041</v>
      </c>
      <c r="P18" s="373">
        <f>SUM(J18:O18)-O18</f>
        <v>2009</v>
      </c>
      <c r="Q18" s="158">
        <f t="shared" si="0"/>
        <v>1</v>
      </c>
      <c r="R18" s="317">
        <f t="shared" si="1"/>
        <v>3172.2109999999998</v>
      </c>
      <c r="T18" s="317">
        <f t="shared" si="2"/>
        <v>0</v>
      </c>
    </row>
    <row r="19" spans="2:21" s="336" customFormat="1" ht="21.75" customHeight="1">
      <c r="B19" s="65">
        <v>14</v>
      </c>
      <c r="C19" s="337" t="s">
        <v>137</v>
      </c>
      <c r="D19" s="339" t="s">
        <v>138</v>
      </c>
      <c r="E19" s="66" t="s">
        <v>273</v>
      </c>
      <c r="F19" s="275">
        <v>956</v>
      </c>
      <c r="G19" s="67">
        <v>2.44</v>
      </c>
      <c r="H19" s="289">
        <f t="shared" si="4"/>
        <v>2332.64</v>
      </c>
      <c r="I19" s="335"/>
      <c r="J19" s="308">
        <v>0</v>
      </c>
      <c r="K19" s="308">
        <v>0</v>
      </c>
      <c r="L19" s="308">
        <v>636</v>
      </c>
      <c r="M19" s="308">
        <v>320</v>
      </c>
      <c r="N19" s="364">
        <f>'Packing List Items'!R156+'Packing List Items'!R158</f>
        <v>720</v>
      </c>
      <c r="O19" s="372">
        <f>'Packing List Items'!R150</f>
        <v>287</v>
      </c>
      <c r="P19" s="373">
        <f>SUM(J19:O19)-O19</f>
        <v>1676</v>
      </c>
      <c r="Q19" s="271">
        <f t="shared" si="0"/>
        <v>1.7531380753138075</v>
      </c>
      <c r="R19" s="317">
        <f t="shared" si="1"/>
        <v>4089.44</v>
      </c>
      <c r="T19" s="365">
        <f t="shared" si="2"/>
        <v>-1756.8</v>
      </c>
      <c r="U19" s="336">
        <f>N19*G19</f>
        <v>1756.8</v>
      </c>
    </row>
    <row r="20" spans="2:21" s="336" customFormat="1" ht="21.75" customHeight="1">
      <c r="B20" s="65">
        <v>15</v>
      </c>
      <c r="C20" s="337" t="s">
        <v>54</v>
      </c>
      <c r="D20" s="339" t="s">
        <v>139</v>
      </c>
      <c r="E20" s="66" t="s">
        <v>273</v>
      </c>
      <c r="F20" s="275">
        <v>37.5</v>
      </c>
      <c r="G20" s="67">
        <v>3.302</v>
      </c>
      <c r="H20" s="289">
        <f t="shared" si="4"/>
        <v>123.825</v>
      </c>
      <c r="I20" s="335"/>
      <c r="J20" s="308">
        <v>37.5</v>
      </c>
      <c r="K20" s="308">
        <v>0</v>
      </c>
      <c r="L20" s="308">
        <v>0</v>
      </c>
      <c r="M20" s="308">
        <v>0</v>
      </c>
      <c r="N20" s="308">
        <v>0</v>
      </c>
      <c r="O20" s="309">
        <v>0</v>
      </c>
      <c r="P20" s="307">
        <f t="shared" si="3"/>
        <v>37.5</v>
      </c>
      <c r="Q20" s="158">
        <f t="shared" si="0"/>
        <v>1</v>
      </c>
      <c r="R20" s="317">
        <f t="shared" si="1"/>
        <v>123.825</v>
      </c>
      <c r="T20" s="317">
        <f t="shared" si="2"/>
        <v>0</v>
      </c>
    </row>
    <row r="21" spans="2:21" s="336" customFormat="1" ht="21.75" customHeight="1">
      <c r="B21" s="65">
        <v>16</v>
      </c>
      <c r="C21" s="337" t="s">
        <v>140</v>
      </c>
      <c r="D21" s="339" t="s">
        <v>141</v>
      </c>
      <c r="E21" s="66" t="s">
        <v>273</v>
      </c>
      <c r="F21" s="275">
        <v>1.5</v>
      </c>
      <c r="G21" s="67">
        <v>4.2350000000000003</v>
      </c>
      <c r="H21" s="289">
        <f t="shared" si="4"/>
        <v>6.3525000000000009</v>
      </c>
      <c r="I21" s="335"/>
      <c r="J21" s="308">
        <v>0</v>
      </c>
      <c r="K21" s="308">
        <v>0</v>
      </c>
      <c r="L21" s="308">
        <v>0</v>
      </c>
      <c r="M21" s="308">
        <v>1.5</v>
      </c>
      <c r="N21" s="308">
        <v>0</v>
      </c>
      <c r="O21" s="309">
        <v>0</v>
      </c>
      <c r="P21" s="307">
        <f t="shared" si="3"/>
        <v>1.5</v>
      </c>
      <c r="Q21" s="158">
        <f t="shared" si="0"/>
        <v>1</v>
      </c>
      <c r="R21" s="317">
        <f t="shared" si="1"/>
        <v>6.3525000000000009</v>
      </c>
      <c r="T21" s="317">
        <f t="shared" si="2"/>
        <v>0</v>
      </c>
    </row>
    <row r="22" spans="2:21" s="336" customFormat="1" ht="21.75" customHeight="1">
      <c r="B22" s="65">
        <v>17</v>
      </c>
      <c r="C22" s="337" t="s">
        <v>111</v>
      </c>
      <c r="D22" s="338" t="s">
        <v>142</v>
      </c>
      <c r="E22" s="66" t="s">
        <v>273</v>
      </c>
      <c r="F22" s="275">
        <v>1170.5</v>
      </c>
      <c r="G22" s="67">
        <v>2.1539999999999999</v>
      </c>
      <c r="H22" s="289">
        <f t="shared" si="4"/>
        <v>2521.2570000000001</v>
      </c>
      <c r="I22" s="335"/>
      <c r="J22" s="308">
        <v>575</v>
      </c>
      <c r="K22" s="308">
        <v>0</v>
      </c>
      <c r="L22" s="308">
        <v>96</v>
      </c>
      <c r="M22" s="308">
        <f>112+216+171.5</f>
        <v>499.5</v>
      </c>
      <c r="N22" s="308">
        <v>0</v>
      </c>
      <c r="O22" s="309">
        <v>0</v>
      </c>
      <c r="P22" s="307">
        <f t="shared" si="3"/>
        <v>1170.5</v>
      </c>
      <c r="Q22" s="158">
        <f t="shared" si="0"/>
        <v>1</v>
      </c>
      <c r="R22" s="317">
        <f t="shared" si="1"/>
        <v>2521.2570000000001</v>
      </c>
      <c r="T22" s="317">
        <f t="shared" si="2"/>
        <v>0</v>
      </c>
    </row>
    <row r="23" spans="2:21" s="336" customFormat="1" ht="21.75" customHeight="1">
      <c r="B23" s="65">
        <v>18</v>
      </c>
      <c r="C23" s="337" t="s">
        <v>82</v>
      </c>
      <c r="D23" s="338" t="s">
        <v>143</v>
      </c>
      <c r="E23" s="66" t="s">
        <v>273</v>
      </c>
      <c r="F23" s="275">
        <v>620.5</v>
      </c>
      <c r="G23" s="67">
        <v>3.0859999999999999</v>
      </c>
      <c r="H23" s="289">
        <f t="shared" si="4"/>
        <v>1914.8629999999998</v>
      </c>
      <c r="I23" s="335"/>
      <c r="J23" s="308">
        <v>620.5</v>
      </c>
      <c r="K23" s="308">
        <v>0</v>
      </c>
      <c r="L23" s="308">
        <v>0</v>
      </c>
      <c r="M23" s="308">
        <v>0</v>
      </c>
      <c r="N23" s="308">
        <v>0</v>
      </c>
      <c r="O23" s="309">
        <v>0</v>
      </c>
      <c r="P23" s="307">
        <f t="shared" si="3"/>
        <v>620.5</v>
      </c>
      <c r="Q23" s="158">
        <f t="shared" si="0"/>
        <v>1</v>
      </c>
      <c r="R23" s="317">
        <f t="shared" si="1"/>
        <v>1914.8629999999998</v>
      </c>
      <c r="T23" s="317">
        <f t="shared" si="2"/>
        <v>0</v>
      </c>
    </row>
    <row r="24" spans="2:21" s="336" customFormat="1" ht="21.75" customHeight="1">
      <c r="B24" s="65">
        <v>19</v>
      </c>
      <c r="C24" s="337" t="s">
        <v>144</v>
      </c>
      <c r="D24" s="338" t="s">
        <v>145</v>
      </c>
      <c r="E24" s="66" t="s">
        <v>273</v>
      </c>
      <c r="F24" s="276">
        <v>139</v>
      </c>
      <c r="G24" s="67">
        <v>4.0739999999999998</v>
      </c>
      <c r="H24" s="289">
        <f t="shared" si="4"/>
        <v>566.28599999999994</v>
      </c>
      <c r="I24" s="335"/>
      <c r="J24" s="308">
        <v>0</v>
      </c>
      <c r="K24" s="308">
        <v>139</v>
      </c>
      <c r="L24" s="308">
        <v>0</v>
      </c>
      <c r="M24" s="308">
        <v>0</v>
      </c>
      <c r="N24" s="308">
        <v>0</v>
      </c>
      <c r="O24" s="309">
        <v>0</v>
      </c>
      <c r="P24" s="307">
        <f t="shared" si="3"/>
        <v>139</v>
      </c>
      <c r="Q24" s="158">
        <f t="shared" si="0"/>
        <v>1</v>
      </c>
      <c r="R24" s="317">
        <f t="shared" si="1"/>
        <v>566.28599999999994</v>
      </c>
      <c r="T24" s="317">
        <f t="shared" si="2"/>
        <v>0</v>
      </c>
    </row>
    <row r="25" spans="2:21" s="336" customFormat="1" ht="21.75" customHeight="1">
      <c r="B25" s="65">
        <v>20</v>
      </c>
      <c r="C25" s="337" t="s">
        <v>146</v>
      </c>
      <c r="D25" s="338" t="s">
        <v>147</v>
      </c>
      <c r="E25" s="66" t="s">
        <v>273</v>
      </c>
      <c r="F25" s="275">
        <v>76</v>
      </c>
      <c r="G25" s="67">
        <v>2.496</v>
      </c>
      <c r="H25" s="289">
        <f t="shared" si="4"/>
        <v>189.696</v>
      </c>
      <c r="I25" s="335"/>
      <c r="J25" s="308">
        <v>0</v>
      </c>
      <c r="K25" s="308">
        <v>0</v>
      </c>
      <c r="L25" s="308">
        <f>57+19</f>
        <v>76</v>
      </c>
      <c r="M25" s="308">
        <v>0</v>
      </c>
      <c r="N25" s="308">
        <v>0</v>
      </c>
      <c r="O25" s="372">
        <f>'Packing List Items'!R164</f>
        <v>42</v>
      </c>
      <c r="P25" s="373">
        <f>SUM(J25:O25)-O25</f>
        <v>76</v>
      </c>
      <c r="Q25" s="158">
        <f t="shared" si="0"/>
        <v>1</v>
      </c>
      <c r="R25" s="317">
        <f t="shared" si="1"/>
        <v>189.696</v>
      </c>
      <c r="T25" s="317">
        <f t="shared" si="2"/>
        <v>0</v>
      </c>
    </row>
    <row r="26" spans="2:21" s="336" customFormat="1" ht="21.75" customHeight="1">
      <c r="B26" s="65">
        <v>21</v>
      </c>
      <c r="C26" s="337" t="s">
        <v>148</v>
      </c>
      <c r="D26" s="338" t="s">
        <v>149</v>
      </c>
      <c r="E26" s="66" t="s">
        <v>273</v>
      </c>
      <c r="F26" s="275">
        <v>1020</v>
      </c>
      <c r="G26" s="67">
        <v>3.589</v>
      </c>
      <c r="H26" s="289">
        <f t="shared" si="4"/>
        <v>3660.7799999999997</v>
      </c>
      <c r="I26" s="335"/>
      <c r="J26" s="308">
        <v>0</v>
      </c>
      <c r="K26" s="308">
        <v>0</v>
      </c>
      <c r="L26" s="308">
        <f>540+381</f>
        <v>921</v>
      </c>
      <c r="M26" s="308">
        <v>99</v>
      </c>
      <c r="N26" s="308">
        <v>0</v>
      </c>
      <c r="O26" s="372">
        <f>'Packing List Items'!R151+'Packing List Items'!R153+'Packing List Items'!R161</f>
        <v>461</v>
      </c>
      <c r="P26" s="373">
        <f>SUM(J26:O26)-O26</f>
        <v>1020</v>
      </c>
      <c r="Q26" s="158">
        <f t="shared" si="0"/>
        <v>1</v>
      </c>
      <c r="R26" s="317">
        <f t="shared" si="1"/>
        <v>3660.7799999999997</v>
      </c>
      <c r="T26" s="317">
        <f t="shared" si="2"/>
        <v>0</v>
      </c>
    </row>
    <row r="27" spans="2:21" s="336" customFormat="1" ht="21.75" customHeight="1">
      <c r="B27" s="65">
        <v>22</v>
      </c>
      <c r="C27" s="337" t="s">
        <v>150</v>
      </c>
      <c r="D27" s="338" t="s">
        <v>151</v>
      </c>
      <c r="E27" s="66" t="s">
        <v>273</v>
      </c>
      <c r="F27" s="275">
        <v>133.5</v>
      </c>
      <c r="G27" s="67">
        <v>4.7370000000000001</v>
      </c>
      <c r="H27" s="289">
        <f t="shared" si="4"/>
        <v>632.3895</v>
      </c>
      <c r="I27" s="335"/>
      <c r="J27" s="308">
        <v>0</v>
      </c>
      <c r="K27" s="308">
        <v>0</v>
      </c>
      <c r="L27" s="308">
        <v>45</v>
      </c>
      <c r="M27" s="308">
        <v>88.5</v>
      </c>
      <c r="N27" s="308">
        <v>0</v>
      </c>
      <c r="O27" s="309">
        <v>0</v>
      </c>
      <c r="P27" s="307">
        <f t="shared" si="3"/>
        <v>133.5</v>
      </c>
      <c r="Q27" s="158">
        <f t="shared" si="0"/>
        <v>1</v>
      </c>
      <c r="R27" s="317">
        <f t="shared" si="1"/>
        <v>632.3895</v>
      </c>
      <c r="T27" s="317">
        <f t="shared" si="2"/>
        <v>0</v>
      </c>
    </row>
    <row r="28" spans="2:21" s="336" customFormat="1" ht="21.75" customHeight="1">
      <c r="B28" s="65">
        <v>23</v>
      </c>
      <c r="C28" s="337" t="s">
        <v>152</v>
      </c>
      <c r="D28" s="338" t="s">
        <v>153</v>
      </c>
      <c r="E28" s="66" t="s">
        <v>273</v>
      </c>
      <c r="F28" s="275">
        <v>68.5</v>
      </c>
      <c r="G28" s="67">
        <v>5.9560000000000004</v>
      </c>
      <c r="H28" s="289">
        <f t="shared" si="4"/>
        <v>407.98600000000005</v>
      </c>
      <c r="I28" s="335"/>
      <c r="J28" s="308">
        <v>0</v>
      </c>
      <c r="K28" s="308">
        <v>0</v>
      </c>
      <c r="L28" s="308">
        <v>0</v>
      </c>
      <c r="M28" s="308">
        <v>68.5</v>
      </c>
      <c r="N28" s="308">
        <v>0</v>
      </c>
      <c r="O28" s="309">
        <v>0</v>
      </c>
      <c r="P28" s="307">
        <f t="shared" si="3"/>
        <v>68.5</v>
      </c>
      <c r="Q28" s="158">
        <f t="shared" si="0"/>
        <v>1</v>
      </c>
      <c r="R28" s="317">
        <f t="shared" si="1"/>
        <v>407.98600000000005</v>
      </c>
      <c r="T28" s="317">
        <f t="shared" si="2"/>
        <v>0</v>
      </c>
    </row>
    <row r="29" spans="2:21" s="336" customFormat="1" ht="21.75" customHeight="1">
      <c r="B29" s="65">
        <v>24</v>
      </c>
      <c r="C29" s="340" t="s">
        <v>43</v>
      </c>
      <c r="D29" s="341" t="s">
        <v>154</v>
      </c>
      <c r="E29" s="66" t="s">
        <v>273</v>
      </c>
      <c r="F29" s="277">
        <v>132</v>
      </c>
      <c r="G29" s="102">
        <v>3.484</v>
      </c>
      <c r="H29" s="289">
        <f t="shared" si="4"/>
        <v>459.88799999999998</v>
      </c>
      <c r="I29" s="335"/>
      <c r="J29" s="309">
        <v>132</v>
      </c>
      <c r="K29" s="308">
        <v>0</v>
      </c>
      <c r="L29" s="308">
        <v>0</v>
      </c>
      <c r="M29" s="308">
        <v>0</v>
      </c>
      <c r="N29" s="308">
        <v>0</v>
      </c>
      <c r="O29" s="309">
        <v>0</v>
      </c>
      <c r="P29" s="307">
        <f t="shared" si="3"/>
        <v>132</v>
      </c>
      <c r="Q29" s="158">
        <f t="shared" si="0"/>
        <v>1</v>
      </c>
      <c r="R29" s="317">
        <f t="shared" si="1"/>
        <v>459.88799999999998</v>
      </c>
      <c r="T29" s="317">
        <f t="shared" si="2"/>
        <v>0</v>
      </c>
    </row>
    <row r="30" spans="2:21" s="336" customFormat="1" ht="21.75" customHeight="1">
      <c r="B30" s="65">
        <v>25</v>
      </c>
      <c r="C30" s="337" t="s">
        <v>155</v>
      </c>
      <c r="D30" s="338" t="s">
        <v>156</v>
      </c>
      <c r="E30" s="66" t="s">
        <v>273</v>
      </c>
      <c r="F30" s="276">
        <v>1479.5</v>
      </c>
      <c r="G30" s="67">
        <v>4.88</v>
      </c>
      <c r="H30" s="289">
        <f t="shared" si="4"/>
        <v>7219.96</v>
      </c>
      <c r="I30" s="335"/>
      <c r="J30" s="308">
        <v>0</v>
      </c>
      <c r="K30" s="308">
        <v>0</v>
      </c>
      <c r="L30" s="308">
        <v>0</v>
      </c>
      <c r="M30" s="308">
        <f>354+285+139.5+220.5+102+139.5+189+50</f>
        <v>1479.5</v>
      </c>
      <c r="N30" s="308">
        <v>0</v>
      </c>
      <c r="O30" s="372">
        <f>'Packing List Items'!R154+'Packing List Items'!R162</f>
        <v>195</v>
      </c>
      <c r="P30" s="373">
        <f>SUM(J30:O30)-O30</f>
        <v>1479.5</v>
      </c>
      <c r="Q30" s="158">
        <f t="shared" si="0"/>
        <v>1</v>
      </c>
      <c r="R30" s="317">
        <f t="shared" si="1"/>
        <v>7219.96</v>
      </c>
      <c r="T30" s="317">
        <f t="shared" si="2"/>
        <v>0</v>
      </c>
    </row>
    <row r="31" spans="2:21" s="387" customFormat="1" ht="21.75" customHeight="1">
      <c r="B31" s="380" t="s">
        <v>499</v>
      </c>
      <c r="C31" s="374" t="s">
        <v>56</v>
      </c>
      <c r="D31" s="381" t="s">
        <v>157</v>
      </c>
      <c r="E31" s="382" t="s">
        <v>273</v>
      </c>
      <c r="F31" s="375">
        <f>48.5+128</f>
        <v>176.5</v>
      </c>
      <c r="G31" s="383">
        <v>6.3150000000000004</v>
      </c>
      <c r="H31" s="384">
        <f t="shared" si="4"/>
        <v>1114.5975000000001</v>
      </c>
      <c r="I31" s="385"/>
      <c r="J31" s="378">
        <v>48.5</v>
      </c>
      <c r="K31" s="378">
        <v>0</v>
      </c>
      <c r="L31" s="378">
        <v>128</v>
      </c>
      <c r="M31" s="378">
        <v>0</v>
      </c>
      <c r="N31" s="378">
        <v>0</v>
      </c>
      <c r="O31" s="386">
        <v>0</v>
      </c>
      <c r="P31" s="379">
        <f t="shared" si="3"/>
        <v>176.5</v>
      </c>
      <c r="Q31" s="376">
        <f t="shared" si="0"/>
        <v>1</v>
      </c>
      <c r="R31" s="377">
        <f t="shared" si="1"/>
        <v>1114.5975000000001</v>
      </c>
      <c r="T31" s="377">
        <f t="shared" si="2"/>
        <v>0</v>
      </c>
    </row>
    <row r="32" spans="2:21" s="336" customFormat="1" ht="21.75" customHeight="1">
      <c r="B32" s="65">
        <v>27</v>
      </c>
      <c r="C32" s="337" t="s">
        <v>29</v>
      </c>
      <c r="D32" s="338" t="s">
        <v>158</v>
      </c>
      <c r="E32" s="66" t="s">
        <v>273</v>
      </c>
      <c r="F32" s="276">
        <v>371</v>
      </c>
      <c r="G32" s="67">
        <v>7.8220000000000001</v>
      </c>
      <c r="H32" s="289">
        <f t="shared" si="4"/>
        <v>2901.962</v>
      </c>
      <c r="I32" s="335"/>
      <c r="J32" s="308">
        <v>371</v>
      </c>
      <c r="K32" s="308">
        <v>0</v>
      </c>
      <c r="L32" s="308">
        <v>0</v>
      </c>
      <c r="M32" s="308">
        <v>0</v>
      </c>
      <c r="N32" s="308">
        <v>0</v>
      </c>
      <c r="O32" s="309">
        <v>0</v>
      </c>
      <c r="P32" s="307">
        <f t="shared" si="3"/>
        <v>371</v>
      </c>
      <c r="Q32" s="158">
        <f t="shared" si="0"/>
        <v>1</v>
      </c>
      <c r="R32" s="317">
        <f t="shared" si="1"/>
        <v>2901.962</v>
      </c>
      <c r="T32" s="317">
        <f t="shared" si="2"/>
        <v>0</v>
      </c>
    </row>
    <row r="33" spans="2:21" s="336" customFormat="1" ht="21.75" customHeight="1">
      <c r="B33" s="65">
        <v>28</v>
      </c>
      <c r="C33" s="337" t="s">
        <v>77</v>
      </c>
      <c r="D33" s="338" t="s">
        <v>159</v>
      </c>
      <c r="E33" s="66" t="s">
        <v>273</v>
      </c>
      <c r="F33" s="276">
        <v>440</v>
      </c>
      <c r="G33" s="67">
        <v>9.8320000000000007</v>
      </c>
      <c r="H33" s="289">
        <f t="shared" si="4"/>
        <v>4326.08</v>
      </c>
      <c r="I33" s="335"/>
      <c r="J33" s="308">
        <v>430</v>
      </c>
      <c r="K33" s="308">
        <v>0</v>
      </c>
      <c r="L33" s="308">
        <v>0</v>
      </c>
      <c r="M33" s="308">
        <v>10</v>
      </c>
      <c r="N33" s="308">
        <v>0</v>
      </c>
      <c r="O33" s="309">
        <v>0</v>
      </c>
      <c r="P33" s="307">
        <f t="shared" si="3"/>
        <v>440</v>
      </c>
      <c r="Q33" s="158">
        <f t="shared" si="0"/>
        <v>1</v>
      </c>
      <c r="R33" s="317">
        <f t="shared" si="1"/>
        <v>4326.08</v>
      </c>
      <c r="T33" s="317">
        <f t="shared" si="2"/>
        <v>0</v>
      </c>
    </row>
    <row r="34" spans="2:21" s="387" customFormat="1" ht="21.75" customHeight="1">
      <c r="B34" s="380" t="s">
        <v>500</v>
      </c>
      <c r="C34" s="374" t="s">
        <v>160</v>
      </c>
      <c r="D34" s="381" t="s">
        <v>161</v>
      </c>
      <c r="E34" s="382" t="s">
        <v>273</v>
      </c>
      <c r="F34" s="375">
        <f>128-128</f>
        <v>0</v>
      </c>
      <c r="G34" s="383">
        <v>6.3150000000000004</v>
      </c>
      <c r="H34" s="384">
        <f t="shared" si="4"/>
        <v>0</v>
      </c>
      <c r="I34" s="385"/>
      <c r="J34" s="378">
        <v>0</v>
      </c>
      <c r="K34" s="378">
        <v>0</v>
      </c>
      <c r="L34" s="378">
        <v>0</v>
      </c>
      <c r="M34" s="378">
        <v>0</v>
      </c>
      <c r="N34" s="378">
        <v>0</v>
      </c>
      <c r="O34" s="386">
        <v>0</v>
      </c>
      <c r="P34" s="379">
        <f t="shared" si="3"/>
        <v>0</v>
      </c>
      <c r="Q34" s="376" t="e">
        <f t="shared" si="0"/>
        <v>#DIV/0!</v>
      </c>
      <c r="R34" s="377">
        <f t="shared" si="1"/>
        <v>0</v>
      </c>
      <c r="T34" s="377">
        <f t="shared" si="2"/>
        <v>0</v>
      </c>
    </row>
    <row r="35" spans="2:21" s="336" customFormat="1" ht="21.75" customHeight="1">
      <c r="B35" s="65">
        <v>30</v>
      </c>
      <c r="C35" s="371" t="s">
        <v>186</v>
      </c>
      <c r="D35" s="338" t="s">
        <v>187</v>
      </c>
      <c r="E35" s="66" t="s">
        <v>274</v>
      </c>
      <c r="F35" s="366">
        <f>132+579</f>
        <v>711</v>
      </c>
      <c r="G35" s="67">
        <v>15.891999999999999</v>
      </c>
      <c r="H35" s="289">
        <f t="shared" si="4"/>
        <v>11299.212</v>
      </c>
      <c r="I35" s="335"/>
      <c r="J35" s="308">
        <v>0</v>
      </c>
      <c r="K35" s="367">
        <v>132</v>
      </c>
      <c r="L35" s="308">
        <v>0</v>
      </c>
      <c r="M35" s="367">
        <v>579</v>
      </c>
      <c r="N35" s="308">
        <v>0</v>
      </c>
      <c r="O35" s="309">
        <v>0</v>
      </c>
      <c r="P35" s="307">
        <f t="shared" si="3"/>
        <v>711</v>
      </c>
      <c r="Q35" s="271">
        <f t="shared" si="0"/>
        <v>1</v>
      </c>
      <c r="R35" s="317">
        <f t="shared" si="1"/>
        <v>11299.212</v>
      </c>
      <c r="T35" s="320">
        <f t="shared" si="2"/>
        <v>0</v>
      </c>
    </row>
    <row r="36" spans="2:21" s="336" customFormat="1" ht="21.75" customHeight="1">
      <c r="B36" s="65">
        <v>31</v>
      </c>
      <c r="C36" s="337" t="s">
        <v>162</v>
      </c>
      <c r="D36" s="338" t="s">
        <v>163</v>
      </c>
      <c r="E36" s="66" t="s">
        <v>273</v>
      </c>
      <c r="F36" s="276">
        <v>10</v>
      </c>
      <c r="G36" s="67">
        <v>4.3390000000000004</v>
      </c>
      <c r="H36" s="289">
        <f t="shared" si="4"/>
        <v>43.39</v>
      </c>
      <c r="I36" s="335"/>
      <c r="J36" s="308">
        <v>0</v>
      </c>
      <c r="K36" s="308">
        <v>0</v>
      </c>
      <c r="L36" s="308">
        <v>10</v>
      </c>
      <c r="M36" s="308">
        <v>0</v>
      </c>
      <c r="N36" s="308">
        <v>0</v>
      </c>
      <c r="O36" s="309">
        <v>0</v>
      </c>
      <c r="P36" s="307">
        <f t="shared" si="3"/>
        <v>10</v>
      </c>
      <c r="Q36" s="158">
        <f t="shared" si="0"/>
        <v>1</v>
      </c>
      <c r="R36" s="317">
        <f t="shared" si="1"/>
        <v>43.39</v>
      </c>
      <c r="T36" s="317">
        <f t="shared" si="2"/>
        <v>0</v>
      </c>
    </row>
    <row r="37" spans="2:21" s="387" customFormat="1" ht="21.75" customHeight="1">
      <c r="B37" s="380" t="s">
        <v>501</v>
      </c>
      <c r="C37" s="374" t="s">
        <v>58</v>
      </c>
      <c r="D37" s="381" t="s">
        <v>164</v>
      </c>
      <c r="E37" s="382" t="s">
        <v>273</v>
      </c>
      <c r="F37" s="375">
        <f>178.5+187</f>
        <v>365.5</v>
      </c>
      <c r="G37" s="383">
        <v>7.7510000000000003</v>
      </c>
      <c r="H37" s="384">
        <f t="shared" si="4"/>
        <v>2832.9905000000003</v>
      </c>
      <c r="I37" s="385"/>
      <c r="J37" s="378">
        <v>84</v>
      </c>
      <c r="K37" s="378">
        <v>0</v>
      </c>
      <c r="L37" s="378">
        <f>20+84+34.5</f>
        <v>138.5</v>
      </c>
      <c r="M37" s="378">
        <v>143</v>
      </c>
      <c r="N37" s="364">
        <f>'Packing List Items'!R155+'Packing List Items'!R157+'Packing List Items'!R165</f>
        <v>300</v>
      </c>
      <c r="O37" s="386">
        <v>0</v>
      </c>
      <c r="P37" s="379">
        <f t="shared" si="3"/>
        <v>665.5</v>
      </c>
      <c r="Q37" s="376">
        <f t="shared" si="0"/>
        <v>1.8207934336525309</v>
      </c>
      <c r="R37" s="377">
        <f t="shared" si="1"/>
        <v>5158.2905000000001</v>
      </c>
      <c r="T37" s="377">
        <f t="shared" si="2"/>
        <v>-2325.3000000000002</v>
      </c>
      <c r="U37" s="387">
        <f>N37*G37</f>
        <v>2325.3000000000002</v>
      </c>
    </row>
    <row r="38" spans="2:21" s="336" customFormat="1" ht="21.75" customHeight="1">
      <c r="B38" s="65">
        <v>33</v>
      </c>
      <c r="C38" s="337" t="s">
        <v>165</v>
      </c>
      <c r="D38" s="338" t="s">
        <v>166</v>
      </c>
      <c r="E38" s="66" t="s">
        <v>273</v>
      </c>
      <c r="F38" s="276">
        <v>348</v>
      </c>
      <c r="G38" s="67">
        <v>9.4719999999999995</v>
      </c>
      <c r="H38" s="289">
        <f t="shared" si="4"/>
        <v>3296.2559999999999</v>
      </c>
      <c r="I38" s="335"/>
      <c r="J38" s="308">
        <v>0</v>
      </c>
      <c r="K38" s="308">
        <v>0</v>
      </c>
      <c r="L38" s="308">
        <v>0</v>
      </c>
      <c r="M38" s="308">
        <f>146+100+102</f>
        <v>348</v>
      </c>
      <c r="N38" s="308">
        <v>0</v>
      </c>
      <c r="O38" s="309">
        <v>0</v>
      </c>
      <c r="P38" s="307">
        <f t="shared" si="3"/>
        <v>348</v>
      </c>
      <c r="Q38" s="158">
        <f t="shared" si="0"/>
        <v>1</v>
      </c>
      <c r="R38" s="317">
        <f t="shared" si="1"/>
        <v>3296.2559999999999</v>
      </c>
      <c r="T38" s="317">
        <f t="shared" si="2"/>
        <v>0</v>
      </c>
    </row>
    <row r="39" spans="2:21" s="336" customFormat="1" ht="21.75" customHeight="1">
      <c r="B39" s="65">
        <v>34</v>
      </c>
      <c r="C39" s="337" t="s">
        <v>167</v>
      </c>
      <c r="D39" s="338" t="s">
        <v>168</v>
      </c>
      <c r="E39" s="66" t="s">
        <v>273</v>
      </c>
      <c r="F39" s="275">
        <v>238</v>
      </c>
      <c r="G39" s="67">
        <v>11.553000000000001</v>
      </c>
      <c r="H39" s="289">
        <f t="shared" si="4"/>
        <v>2749.614</v>
      </c>
      <c r="I39" s="335"/>
      <c r="J39" s="308">
        <v>0</v>
      </c>
      <c r="K39" s="308">
        <v>0</v>
      </c>
      <c r="L39" s="308">
        <v>0</v>
      </c>
      <c r="M39" s="308">
        <f>160+78</f>
        <v>238</v>
      </c>
      <c r="N39" s="308">
        <v>0</v>
      </c>
      <c r="O39" s="309">
        <v>0</v>
      </c>
      <c r="P39" s="307">
        <f t="shared" si="3"/>
        <v>238</v>
      </c>
      <c r="Q39" s="158">
        <f t="shared" si="0"/>
        <v>1</v>
      </c>
      <c r="R39" s="317">
        <f t="shared" si="1"/>
        <v>2749.614</v>
      </c>
      <c r="T39" s="317">
        <f t="shared" si="2"/>
        <v>0</v>
      </c>
    </row>
    <row r="40" spans="2:21" s="387" customFormat="1" ht="21.75" customHeight="1">
      <c r="B40" s="380" t="s">
        <v>502</v>
      </c>
      <c r="C40" s="374" t="s">
        <v>169</v>
      </c>
      <c r="D40" s="381" t="s">
        <v>170</v>
      </c>
      <c r="E40" s="382" t="s">
        <v>273</v>
      </c>
      <c r="F40" s="375">
        <f>187-187</f>
        <v>0</v>
      </c>
      <c r="G40" s="383">
        <v>7.7510000000000003</v>
      </c>
      <c r="H40" s="384">
        <f t="shared" si="4"/>
        <v>0</v>
      </c>
      <c r="I40" s="385"/>
      <c r="J40" s="378">
        <v>0</v>
      </c>
      <c r="K40" s="378">
        <v>0</v>
      </c>
      <c r="L40" s="378">
        <v>0</v>
      </c>
      <c r="M40" s="378">
        <v>0</v>
      </c>
      <c r="N40" s="378">
        <v>0</v>
      </c>
      <c r="O40" s="386">
        <v>0</v>
      </c>
      <c r="P40" s="379">
        <f t="shared" si="3"/>
        <v>0</v>
      </c>
      <c r="Q40" s="376" t="e">
        <f t="shared" si="0"/>
        <v>#DIV/0!</v>
      </c>
      <c r="R40" s="377">
        <f t="shared" si="1"/>
        <v>0</v>
      </c>
      <c r="T40" s="377">
        <f t="shared" si="2"/>
        <v>0</v>
      </c>
    </row>
    <row r="41" spans="2:21" s="336" customFormat="1" ht="21.75" customHeight="1">
      <c r="B41" s="65">
        <v>36</v>
      </c>
      <c r="C41" s="337" t="s">
        <v>186</v>
      </c>
      <c r="D41" s="338" t="s">
        <v>187</v>
      </c>
      <c r="E41" s="66" t="s">
        <v>274</v>
      </c>
      <c r="F41" s="276">
        <f>223</f>
        <v>223</v>
      </c>
      <c r="G41" s="67">
        <v>15.891999999999999</v>
      </c>
      <c r="H41" s="289">
        <f t="shared" si="4"/>
        <v>3543.9159999999997</v>
      </c>
      <c r="I41" s="335"/>
      <c r="J41" s="308">
        <v>0</v>
      </c>
      <c r="K41" s="308">
        <v>223</v>
      </c>
      <c r="L41" s="308">
        <v>0</v>
      </c>
      <c r="M41" s="308">
        <v>0</v>
      </c>
      <c r="N41" s="308">
        <v>0</v>
      </c>
      <c r="O41" s="309">
        <v>0</v>
      </c>
      <c r="P41" s="307">
        <f t="shared" si="3"/>
        <v>223</v>
      </c>
      <c r="Q41" s="158">
        <f t="shared" si="0"/>
        <v>1</v>
      </c>
      <c r="R41" s="317">
        <f t="shared" si="1"/>
        <v>3543.9159999999997</v>
      </c>
      <c r="T41" s="317">
        <f t="shared" si="2"/>
        <v>0</v>
      </c>
    </row>
    <row r="42" spans="2:21" s="336" customFormat="1" ht="21.75" customHeight="1">
      <c r="B42" s="65">
        <v>37</v>
      </c>
      <c r="C42" s="337" t="s">
        <v>171</v>
      </c>
      <c r="D42" s="338" t="s">
        <v>172</v>
      </c>
      <c r="E42" s="66" t="s">
        <v>273</v>
      </c>
      <c r="F42" s="276">
        <v>40</v>
      </c>
      <c r="G42" s="67">
        <v>5.1340000000000003</v>
      </c>
      <c r="H42" s="289">
        <f t="shared" si="4"/>
        <v>205.36</v>
      </c>
      <c r="I42" s="335"/>
      <c r="J42" s="308">
        <v>0</v>
      </c>
      <c r="K42" s="308">
        <v>0</v>
      </c>
      <c r="L42" s="308">
        <v>0</v>
      </c>
      <c r="M42" s="308">
        <v>40</v>
      </c>
      <c r="N42" s="308">
        <v>0</v>
      </c>
      <c r="O42" s="309">
        <v>0</v>
      </c>
      <c r="P42" s="307">
        <f t="shared" si="3"/>
        <v>40</v>
      </c>
      <c r="Q42" s="158">
        <f t="shared" si="0"/>
        <v>1</v>
      </c>
      <c r="R42" s="317">
        <f t="shared" si="1"/>
        <v>205.36</v>
      </c>
      <c r="T42" s="317">
        <f t="shared" si="2"/>
        <v>0</v>
      </c>
    </row>
    <row r="43" spans="2:21" s="387" customFormat="1" ht="21.75" customHeight="1">
      <c r="B43" s="380" t="s">
        <v>505</v>
      </c>
      <c r="C43" s="374" t="s">
        <v>173</v>
      </c>
      <c r="D43" s="381" t="s">
        <v>174</v>
      </c>
      <c r="E43" s="382" t="s">
        <v>273</v>
      </c>
      <c r="F43" s="375">
        <f>102.5+241+177.5</f>
        <v>521</v>
      </c>
      <c r="G43" s="383">
        <v>9.3290000000000006</v>
      </c>
      <c r="H43" s="384">
        <f t="shared" si="4"/>
        <v>4860.4090000000006</v>
      </c>
      <c r="I43" s="385"/>
      <c r="J43" s="378">
        <v>0</v>
      </c>
      <c r="K43" s="378">
        <v>0</v>
      </c>
      <c r="L43" s="378">
        <v>0</v>
      </c>
      <c r="M43" s="378">
        <f>29+39+86+120+150+97</f>
        <v>521</v>
      </c>
      <c r="N43" s="378">
        <v>0</v>
      </c>
      <c r="O43" s="386">
        <v>0</v>
      </c>
      <c r="P43" s="379">
        <f t="shared" si="3"/>
        <v>521</v>
      </c>
      <c r="Q43" s="376">
        <f t="shared" si="0"/>
        <v>1</v>
      </c>
      <c r="R43" s="377">
        <f t="shared" si="1"/>
        <v>4860.4090000000006</v>
      </c>
      <c r="T43" s="377">
        <f t="shared" si="2"/>
        <v>0</v>
      </c>
    </row>
    <row r="44" spans="2:21" s="336" customFormat="1" ht="21.75" customHeight="1">
      <c r="B44" s="65">
        <v>39</v>
      </c>
      <c r="C44" s="337" t="s">
        <v>175</v>
      </c>
      <c r="D44" s="338" t="s">
        <v>176</v>
      </c>
      <c r="E44" s="66" t="s">
        <v>273</v>
      </c>
      <c r="F44" s="276">
        <v>573.5</v>
      </c>
      <c r="G44" s="67">
        <v>11.266999999999999</v>
      </c>
      <c r="H44" s="289">
        <f t="shared" si="4"/>
        <v>6461.6244999999999</v>
      </c>
      <c r="I44" s="335"/>
      <c r="J44" s="308">
        <v>0</v>
      </c>
      <c r="K44" s="308">
        <v>155</v>
      </c>
      <c r="L44" s="308">
        <v>0</v>
      </c>
      <c r="M44" s="308">
        <f>37+14+77+170+40+29.5+50.5+0.5</f>
        <v>418.5</v>
      </c>
      <c r="N44" s="308">
        <v>0</v>
      </c>
      <c r="O44" s="309">
        <v>0</v>
      </c>
      <c r="P44" s="307">
        <f t="shared" si="3"/>
        <v>573.5</v>
      </c>
      <c r="Q44" s="158">
        <f t="shared" si="0"/>
        <v>1</v>
      </c>
      <c r="R44" s="317">
        <f t="shared" si="1"/>
        <v>6461.6244999999999</v>
      </c>
      <c r="T44" s="317">
        <f t="shared" si="2"/>
        <v>0</v>
      </c>
    </row>
    <row r="45" spans="2:21" s="336" customFormat="1" ht="21.75" customHeight="1">
      <c r="B45" s="65">
        <v>40</v>
      </c>
      <c r="C45" s="337" t="s">
        <v>71</v>
      </c>
      <c r="D45" s="338" t="s">
        <v>177</v>
      </c>
      <c r="E45" s="66" t="s">
        <v>273</v>
      </c>
      <c r="F45" s="275">
        <v>216</v>
      </c>
      <c r="G45" s="67">
        <v>13.634</v>
      </c>
      <c r="H45" s="289">
        <f t="shared" si="4"/>
        <v>2944.944</v>
      </c>
      <c r="I45" s="335"/>
      <c r="J45" s="308">
        <v>216</v>
      </c>
      <c r="K45" s="308">
        <v>0</v>
      </c>
      <c r="L45" s="308">
        <v>0</v>
      </c>
      <c r="M45" s="308">
        <v>0</v>
      </c>
      <c r="N45" s="308">
        <v>0</v>
      </c>
      <c r="O45" s="309">
        <v>0</v>
      </c>
      <c r="P45" s="307">
        <f t="shared" si="3"/>
        <v>216</v>
      </c>
      <c r="Q45" s="158">
        <f t="shared" si="0"/>
        <v>1</v>
      </c>
      <c r="R45" s="317">
        <f t="shared" si="1"/>
        <v>2944.944</v>
      </c>
      <c r="T45" s="317">
        <f t="shared" si="2"/>
        <v>0</v>
      </c>
    </row>
    <row r="46" spans="2:21" s="387" customFormat="1" ht="21.75" customHeight="1">
      <c r="B46" s="380" t="s">
        <v>506</v>
      </c>
      <c r="C46" s="388" t="s">
        <v>178</v>
      </c>
      <c r="D46" s="389" t="s">
        <v>179</v>
      </c>
      <c r="E46" s="382" t="s">
        <v>273</v>
      </c>
      <c r="F46" s="390">
        <f>241-241</f>
        <v>0</v>
      </c>
      <c r="G46" s="391">
        <v>9.3290000000000006</v>
      </c>
      <c r="H46" s="384">
        <f t="shared" si="4"/>
        <v>0</v>
      </c>
      <c r="I46" s="385"/>
      <c r="J46" s="392">
        <v>0</v>
      </c>
      <c r="K46" s="378">
        <v>0</v>
      </c>
      <c r="L46" s="378">
        <v>0</v>
      </c>
      <c r="M46" s="378">
        <v>0</v>
      </c>
      <c r="N46" s="378">
        <v>0</v>
      </c>
      <c r="O46" s="386">
        <v>0</v>
      </c>
      <c r="P46" s="379">
        <f t="shared" si="3"/>
        <v>0</v>
      </c>
      <c r="Q46" s="376" t="e">
        <f t="shared" si="0"/>
        <v>#DIV/0!</v>
      </c>
      <c r="R46" s="377">
        <f t="shared" si="1"/>
        <v>0</v>
      </c>
      <c r="T46" s="377">
        <f t="shared" si="2"/>
        <v>0</v>
      </c>
    </row>
    <row r="47" spans="2:21" s="336" customFormat="1" ht="21.75" customHeight="1">
      <c r="B47" s="65">
        <v>42</v>
      </c>
      <c r="C47" s="370" t="s">
        <v>186</v>
      </c>
      <c r="D47" s="344" t="s">
        <v>187</v>
      </c>
      <c r="E47" s="66" t="s">
        <v>274</v>
      </c>
      <c r="F47" s="369">
        <f>328+24</f>
        <v>352</v>
      </c>
      <c r="G47" s="101">
        <v>15.891999999999999</v>
      </c>
      <c r="H47" s="289">
        <f t="shared" si="4"/>
        <v>5593.9839999999995</v>
      </c>
      <c r="I47" s="335"/>
      <c r="J47" s="310">
        <v>0</v>
      </c>
      <c r="K47" s="368">
        <v>328</v>
      </c>
      <c r="L47" s="310">
        <v>0</v>
      </c>
      <c r="M47" s="368">
        <v>24</v>
      </c>
      <c r="N47" s="308">
        <v>0</v>
      </c>
      <c r="O47" s="309">
        <v>0</v>
      </c>
      <c r="P47" s="307">
        <f t="shared" si="3"/>
        <v>352</v>
      </c>
      <c r="Q47" s="271">
        <f t="shared" si="0"/>
        <v>1</v>
      </c>
      <c r="R47" s="317">
        <f t="shared" si="1"/>
        <v>5593.9839999999995</v>
      </c>
      <c r="T47" s="320">
        <f t="shared" si="2"/>
        <v>0</v>
      </c>
    </row>
    <row r="48" spans="2:21" s="387" customFormat="1" ht="21.75" customHeight="1">
      <c r="B48" s="380" t="s">
        <v>507</v>
      </c>
      <c r="C48" s="388" t="s">
        <v>180</v>
      </c>
      <c r="D48" s="389" t="s">
        <v>181</v>
      </c>
      <c r="E48" s="382" t="s">
        <v>273</v>
      </c>
      <c r="F48" s="390">
        <f>177.5-177.5</f>
        <v>0</v>
      </c>
      <c r="G48" s="391">
        <v>9.3290000000000006</v>
      </c>
      <c r="H48" s="384">
        <f t="shared" si="4"/>
        <v>0</v>
      </c>
      <c r="I48" s="385"/>
      <c r="J48" s="392">
        <v>0</v>
      </c>
      <c r="K48" s="378">
        <v>0</v>
      </c>
      <c r="L48" s="378">
        <v>0</v>
      </c>
      <c r="M48" s="378">
        <v>0</v>
      </c>
      <c r="N48" s="378">
        <v>0</v>
      </c>
      <c r="O48" s="386">
        <v>0</v>
      </c>
      <c r="P48" s="379">
        <f t="shared" si="3"/>
        <v>0</v>
      </c>
      <c r="Q48" s="376" t="e">
        <f t="shared" si="0"/>
        <v>#DIV/0!</v>
      </c>
      <c r="R48" s="377">
        <f t="shared" si="1"/>
        <v>0</v>
      </c>
      <c r="T48" s="377">
        <f t="shared" si="2"/>
        <v>0</v>
      </c>
    </row>
    <row r="49" spans="2:21" s="336" customFormat="1" ht="21.75" customHeight="1">
      <c r="B49" s="65">
        <v>44</v>
      </c>
      <c r="C49" s="345" t="s">
        <v>290</v>
      </c>
      <c r="D49" s="344" t="s">
        <v>231</v>
      </c>
      <c r="E49" s="66" t="s">
        <v>274</v>
      </c>
      <c r="F49" s="278">
        <v>253</v>
      </c>
      <c r="G49" s="101">
        <v>16.7</v>
      </c>
      <c r="H49" s="289">
        <f t="shared" si="4"/>
        <v>4225.0999999999995</v>
      </c>
      <c r="I49" s="335"/>
      <c r="J49" s="310">
        <v>0</v>
      </c>
      <c r="K49" s="310">
        <v>253</v>
      </c>
      <c r="L49" s="310">
        <v>0</v>
      </c>
      <c r="M49" s="310">
        <v>0</v>
      </c>
      <c r="N49" s="364">
        <f>'Packing List Items'!R148+'Packing List Items'!R147</f>
        <v>700.07999999999993</v>
      </c>
      <c r="O49" s="309">
        <v>0</v>
      </c>
      <c r="P49" s="307">
        <f t="shared" si="3"/>
        <v>953.07999999999993</v>
      </c>
      <c r="Q49" s="271">
        <f t="shared" si="0"/>
        <v>3.7671146245059286</v>
      </c>
      <c r="R49" s="317">
        <f t="shared" si="1"/>
        <v>15916.435999999998</v>
      </c>
      <c r="T49" s="365">
        <f t="shared" si="2"/>
        <v>-11691.335999999998</v>
      </c>
      <c r="U49" s="336">
        <f>N49*G49</f>
        <v>11691.335999999998</v>
      </c>
    </row>
    <row r="50" spans="2:21" s="336" customFormat="1" ht="21.75" customHeight="1">
      <c r="B50" s="65">
        <v>45</v>
      </c>
      <c r="C50" s="345" t="s">
        <v>182</v>
      </c>
      <c r="D50" s="344" t="s">
        <v>183</v>
      </c>
      <c r="E50" s="66" t="s">
        <v>273</v>
      </c>
      <c r="F50" s="278">
        <v>1.1000000000000001</v>
      </c>
      <c r="G50" s="101">
        <v>10.888</v>
      </c>
      <c r="H50" s="289">
        <f t="shared" si="4"/>
        <v>11.976800000000001</v>
      </c>
      <c r="I50" s="335"/>
      <c r="J50" s="310">
        <v>0</v>
      </c>
      <c r="K50" s="310">
        <v>1.1000000000000001</v>
      </c>
      <c r="L50" s="310">
        <v>0</v>
      </c>
      <c r="M50" s="310">
        <v>0</v>
      </c>
      <c r="N50" s="308">
        <v>0</v>
      </c>
      <c r="O50" s="309">
        <v>0</v>
      </c>
      <c r="P50" s="307">
        <f t="shared" si="3"/>
        <v>1.1000000000000001</v>
      </c>
      <c r="Q50" s="158">
        <f t="shared" si="0"/>
        <v>1</v>
      </c>
      <c r="R50" s="317">
        <f t="shared" si="1"/>
        <v>11.976800000000001</v>
      </c>
      <c r="T50" s="317">
        <f t="shared" si="2"/>
        <v>0</v>
      </c>
    </row>
    <row r="51" spans="2:21" s="336" customFormat="1" ht="21.75" customHeight="1">
      <c r="B51" s="65">
        <v>46</v>
      </c>
      <c r="C51" s="345" t="s">
        <v>184</v>
      </c>
      <c r="D51" s="344" t="s">
        <v>185</v>
      </c>
      <c r="E51" s="66" t="s">
        <v>273</v>
      </c>
      <c r="F51" s="278">
        <v>5.5</v>
      </c>
      <c r="G51" s="101">
        <v>7.8010000000000002</v>
      </c>
      <c r="H51" s="289">
        <f t="shared" si="4"/>
        <v>42.905500000000004</v>
      </c>
      <c r="I51" s="335"/>
      <c r="J51" s="310">
        <v>0</v>
      </c>
      <c r="K51" s="310">
        <v>5.5</v>
      </c>
      <c r="L51" s="310">
        <v>0</v>
      </c>
      <c r="M51" s="310">
        <v>0</v>
      </c>
      <c r="N51" s="308">
        <v>0</v>
      </c>
      <c r="O51" s="309">
        <v>0</v>
      </c>
      <c r="P51" s="307">
        <f t="shared" si="3"/>
        <v>5.5</v>
      </c>
      <c r="Q51" s="158">
        <f t="shared" si="0"/>
        <v>1</v>
      </c>
      <c r="R51" s="317">
        <f t="shared" si="1"/>
        <v>42.905500000000004</v>
      </c>
      <c r="T51" s="317">
        <f t="shared" si="2"/>
        <v>0</v>
      </c>
    </row>
    <row r="52" spans="2:21" s="336" customFormat="1" ht="21.75" customHeight="1">
      <c r="B52" s="65">
        <v>47</v>
      </c>
      <c r="C52" s="345" t="s">
        <v>186</v>
      </c>
      <c r="D52" s="344" t="s">
        <v>187</v>
      </c>
      <c r="E52" s="66" t="s">
        <v>274</v>
      </c>
      <c r="F52" s="279">
        <v>87.78</v>
      </c>
      <c r="G52" s="101">
        <v>15.891999999999999</v>
      </c>
      <c r="H52" s="289">
        <f t="shared" si="4"/>
        <v>1394.9997599999999</v>
      </c>
      <c r="I52" s="335"/>
      <c r="J52" s="310">
        <v>0</v>
      </c>
      <c r="K52" s="310">
        <v>87.78</v>
      </c>
      <c r="L52" s="310">
        <v>0</v>
      </c>
      <c r="M52" s="310">
        <v>0</v>
      </c>
      <c r="N52" s="308">
        <v>0</v>
      </c>
      <c r="O52" s="309">
        <v>0</v>
      </c>
      <c r="P52" s="307">
        <f t="shared" si="3"/>
        <v>87.78</v>
      </c>
      <c r="Q52" s="158">
        <f t="shared" si="0"/>
        <v>1</v>
      </c>
      <c r="R52" s="317">
        <f t="shared" si="1"/>
        <v>1394.9997599999999</v>
      </c>
      <c r="T52" s="317">
        <f t="shared" si="2"/>
        <v>0</v>
      </c>
    </row>
    <row r="53" spans="2:21" s="387" customFormat="1" ht="21.75" customHeight="1">
      <c r="B53" s="380" t="s">
        <v>503</v>
      </c>
      <c r="C53" s="388" t="s">
        <v>188</v>
      </c>
      <c r="D53" s="389" t="s">
        <v>189</v>
      </c>
      <c r="E53" s="382" t="s">
        <v>274</v>
      </c>
      <c r="F53" s="390">
        <f>1007.6+229.9</f>
        <v>1237.5</v>
      </c>
      <c r="G53" s="391">
        <v>17.507999999999999</v>
      </c>
      <c r="H53" s="384">
        <f t="shared" si="4"/>
        <v>21666.149999999998</v>
      </c>
      <c r="I53" s="385"/>
      <c r="J53" s="392">
        <v>0</v>
      </c>
      <c r="K53" s="392">
        <f>240+997.5</f>
        <v>1237.5</v>
      </c>
      <c r="L53" s="392">
        <v>0</v>
      </c>
      <c r="M53" s="392">
        <f>223.2+18</f>
        <v>241.2</v>
      </c>
      <c r="N53" s="378">
        <v>0</v>
      </c>
      <c r="O53" s="386">
        <v>0</v>
      </c>
      <c r="P53" s="379">
        <f t="shared" si="3"/>
        <v>1478.7</v>
      </c>
      <c r="Q53" s="376">
        <f t="shared" si="0"/>
        <v>1.1949090909090909</v>
      </c>
      <c r="R53" s="377">
        <f t="shared" si="1"/>
        <v>25889.079600000001</v>
      </c>
      <c r="T53" s="377">
        <f t="shared" si="2"/>
        <v>-4222.9296000000004</v>
      </c>
    </row>
    <row r="54" spans="2:21" s="336" customFormat="1" ht="21.75" customHeight="1">
      <c r="B54" s="65">
        <v>49</v>
      </c>
      <c r="C54" s="370" t="s">
        <v>190</v>
      </c>
      <c r="D54" s="344" t="s">
        <v>191</v>
      </c>
      <c r="E54" s="66" t="s">
        <v>274</v>
      </c>
      <c r="F54" s="369">
        <f>1310.1+230</f>
        <v>1540.1</v>
      </c>
      <c r="G54" s="101">
        <v>18.315999999999999</v>
      </c>
      <c r="H54" s="289">
        <f t="shared" si="4"/>
        <v>28208.471599999997</v>
      </c>
      <c r="I54" s="335"/>
      <c r="J54" s="310">
        <v>0</v>
      </c>
      <c r="K54" s="368">
        <f>864+446.1</f>
        <v>1310.0999999999999</v>
      </c>
      <c r="L54" s="310">
        <v>0</v>
      </c>
      <c r="M54" s="368">
        <v>153.6</v>
      </c>
      <c r="N54" s="308">
        <v>0</v>
      </c>
      <c r="O54" s="309">
        <v>0</v>
      </c>
      <c r="P54" s="307">
        <f t="shared" si="3"/>
        <v>1463.6999999999998</v>
      </c>
      <c r="Q54" s="271">
        <f t="shared" si="0"/>
        <v>0.95039283163430943</v>
      </c>
      <c r="R54" s="317">
        <f t="shared" si="1"/>
        <v>26809.129199999996</v>
      </c>
      <c r="T54" s="320">
        <f t="shared" si="2"/>
        <v>1399.3424000000016</v>
      </c>
    </row>
    <row r="55" spans="2:21" s="336" customFormat="1" ht="21.75" customHeight="1">
      <c r="B55" s="65">
        <v>50</v>
      </c>
      <c r="C55" s="345" t="s">
        <v>192</v>
      </c>
      <c r="D55" s="344" t="s">
        <v>193</v>
      </c>
      <c r="E55" s="66" t="s">
        <v>274</v>
      </c>
      <c r="F55" s="279">
        <v>1243</v>
      </c>
      <c r="G55" s="101">
        <v>19.123999999999999</v>
      </c>
      <c r="H55" s="289">
        <f t="shared" si="4"/>
        <v>23771.131999999998</v>
      </c>
      <c r="I55" s="335"/>
      <c r="J55" s="310">
        <v>0</v>
      </c>
      <c r="K55" s="310">
        <f>100.8+307.2+187+648</f>
        <v>1243</v>
      </c>
      <c r="L55" s="310">
        <v>0</v>
      </c>
      <c r="M55" s="310">
        <v>0</v>
      </c>
      <c r="N55" s="308">
        <v>0</v>
      </c>
      <c r="O55" s="309">
        <v>0</v>
      </c>
      <c r="P55" s="307">
        <f t="shared" si="3"/>
        <v>1243</v>
      </c>
      <c r="Q55" s="158">
        <f t="shared" si="0"/>
        <v>1</v>
      </c>
      <c r="R55" s="317">
        <f t="shared" si="1"/>
        <v>23771.131999999998</v>
      </c>
      <c r="T55" s="317">
        <f t="shared" si="2"/>
        <v>0</v>
      </c>
    </row>
    <row r="56" spans="2:21" s="336" customFormat="1" ht="21.75" customHeight="1">
      <c r="B56" s="65">
        <v>51</v>
      </c>
      <c r="C56" s="345" t="s">
        <v>194</v>
      </c>
      <c r="D56" s="344" t="s">
        <v>195</v>
      </c>
      <c r="E56" s="66" t="s">
        <v>274</v>
      </c>
      <c r="F56" s="279">
        <v>403.7</v>
      </c>
      <c r="G56" s="101">
        <v>19.931999999999999</v>
      </c>
      <c r="H56" s="289">
        <f t="shared" si="4"/>
        <v>8046.5483999999988</v>
      </c>
      <c r="I56" s="335"/>
      <c r="J56" s="310">
        <v>0</v>
      </c>
      <c r="K56" s="310">
        <v>403.7</v>
      </c>
      <c r="L56" s="310">
        <v>0</v>
      </c>
      <c r="M56" s="310">
        <v>0</v>
      </c>
      <c r="N56" s="308">
        <v>0</v>
      </c>
      <c r="O56" s="309">
        <v>0</v>
      </c>
      <c r="P56" s="307">
        <f t="shared" si="3"/>
        <v>403.7</v>
      </c>
      <c r="Q56" s="158">
        <f t="shared" si="0"/>
        <v>1</v>
      </c>
      <c r="R56" s="317">
        <f t="shared" si="1"/>
        <v>8046.5483999999988</v>
      </c>
      <c r="T56" s="317">
        <f t="shared" si="2"/>
        <v>0</v>
      </c>
    </row>
    <row r="57" spans="2:21" s="336" customFormat="1" ht="21.75" customHeight="1">
      <c r="B57" s="65">
        <v>52</v>
      </c>
      <c r="C57" s="345" t="s">
        <v>196</v>
      </c>
      <c r="D57" s="344" t="s">
        <v>197</v>
      </c>
      <c r="E57" s="66" t="s">
        <v>274</v>
      </c>
      <c r="F57" s="279">
        <v>822.8</v>
      </c>
      <c r="G57" s="101">
        <v>20.74</v>
      </c>
      <c r="H57" s="289">
        <f t="shared" si="4"/>
        <v>17064.871999999999</v>
      </c>
      <c r="I57" s="335"/>
      <c r="J57" s="310">
        <v>0</v>
      </c>
      <c r="K57" s="310">
        <f>648+174.84-0.04</f>
        <v>822.80000000000007</v>
      </c>
      <c r="L57" s="310">
        <v>0</v>
      </c>
      <c r="M57" s="310">
        <v>211</v>
      </c>
      <c r="N57" s="308">
        <v>0</v>
      </c>
      <c r="O57" s="309">
        <v>0</v>
      </c>
      <c r="P57" s="307">
        <f t="shared" si="3"/>
        <v>1033.8000000000002</v>
      </c>
      <c r="Q57" s="271">
        <f t="shared" si="0"/>
        <v>1.256441419543024</v>
      </c>
      <c r="R57" s="317">
        <f t="shared" si="1"/>
        <v>21441.012000000002</v>
      </c>
      <c r="T57" s="320">
        <f t="shared" si="2"/>
        <v>-4376.140000000004</v>
      </c>
    </row>
    <row r="58" spans="2:21" s="336" customFormat="1" ht="21.75" customHeight="1">
      <c r="B58" s="65">
        <v>53</v>
      </c>
      <c r="C58" s="345" t="s">
        <v>198</v>
      </c>
      <c r="D58" s="344" t="s">
        <v>199</v>
      </c>
      <c r="E58" s="66" t="s">
        <v>274</v>
      </c>
      <c r="F58" s="278">
        <v>11.88</v>
      </c>
      <c r="G58" s="101">
        <v>21.547999999999998</v>
      </c>
      <c r="H58" s="289">
        <f t="shared" si="4"/>
        <v>255.99024</v>
      </c>
      <c r="I58" s="335"/>
      <c r="J58" s="310">
        <v>0</v>
      </c>
      <c r="K58" s="310">
        <v>11.88</v>
      </c>
      <c r="L58" s="310">
        <v>0</v>
      </c>
      <c r="M58" s="310">
        <v>0</v>
      </c>
      <c r="N58" s="308">
        <v>0</v>
      </c>
      <c r="O58" s="309">
        <v>0</v>
      </c>
      <c r="P58" s="307">
        <f t="shared" si="3"/>
        <v>11.88</v>
      </c>
      <c r="Q58" s="158">
        <f t="shared" si="0"/>
        <v>1</v>
      </c>
      <c r="R58" s="317">
        <f t="shared" si="1"/>
        <v>255.99024</v>
      </c>
      <c r="T58" s="317">
        <f t="shared" si="2"/>
        <v>0</v>
      </c>
    </row>
    <row r="59" spans="2:21" s="387" customFormat="1" ht="21.75" customHeight="1">
      <c r="B59" s="380" t="s">
        <v>504</v>
      </c>
      <c r="C59" s="388" t="s">
        <v>200</v>
      </c>
      <c r="D59" s="389" t="s">
        <v>201</v>
      </c>
      <c r="E59" s="382" t="s">
        <v>274</v>
      </c>
      <c r="F59" s="390">
        <f>229.9-229.9</f>
        <v>0</v>
      </c>
      <c r="G59" s="391">
        <v>17.507999999999999</v>
      </c>
      <c r="H59" s="384">
        <f t="shared" si="4"/>
        <v>0</v>
      </c>
      <c r="I59" s="385"/>
      <c r="J59" s="392">
        <v>0</v>
      </c>
      <c r="K59" s="378">
        <v>0</v>
      </c>
      <c r="L59" s="378">
        <v>0</v>
      </c>
      <c r="M59" s="378">
        <v>0</v>
      </c>
      <c r="N59" s="378">
        <v>0</v>
      </c>
      <c r="O59" s="386">
        <v>0</v>
      </c>
      <c r="P59" s="379">
        <f t="shared" si="3"/>
        <v>0</v>
      </c>
      <c r="Q59" s="376" t="e">
        <f t="shared" si="0"/>
        <v>#DIV/0!</v>
      </c>
      <c r="R59" s="377">
        <f t="shared" si="1"/>
        <v>0</v>
      </c>
      <c r="T59" s="377">
        <f t="shared" si="2"/>
        <v>0</v>
      </c>
    </row>
    <row r="60" spans="2:21" s="336" customFormat="1" ht="21.75" customHeight="1">
      <c r="B60" s="65">
        <v>55</v>
      </c>
      <c r="C60" s="345" t="s">
        <v>190</v>
      </c>
      <c r="D60" s="344" t="s">
        <v>191</v>
      </c>
      <c r="E60" s="66" t="s">
        <v>274</v>
      </c>
      <c r="F60" s="279">
        <v>229.9</v>
      </c>
      <c r="G60" s="101">
        <v>18.315999999999999</v>
      </c>
      <c r="H60" s="289">
        <f t="shared" si="4"/>
        <v>4210.8483999999999</v>
      </c>
      <c r="I60" s="335"/>
      <c r="J60" s="310">
        <v>0</v>
      </c>
      <c r="K60" s="310">
        <f>230.7-0.8</f>
        <v>229.89999999999998</v>
      </c>
      <c r="L60" s="310">
        <v>0</v>
      </c>
      <c r="M60" s="310">
        <v>280.8</v>
      </c>
      <c r="N60" s="308">
        <v>0</v>
      </c>
      <c r="O60" s="309">
        <v>0</v>
      </c>
      <c r="P60" s="307">
        <f t="shared" si="3"/>
        <v>510.7</v>
      </c>
      <c r="Q60" s="271">
        <f t="shared" si="0"/>
        <v>2.2214006089604177</v>
      </c>
      <c r="R60" s="317">
        <f t="shared" si="1"/>
        <v>9353.9811999999984</v>
      </c>
      <c r="T60" s="320">
        <f t="shared" si="2"/>
        <v>-5143.1327999999985</v>
      </c>
    </row>
    <row r="61" spans="2:21" s="336" customFormat="1" ht="21.75" customHeight="1">
      <c r="B61" s="65">
        <v>56</v>
      </c>
      <c r="C61" s="345" t="s">
        <v>87</v>
      </c>
      <c r="D61" s="344" t="s">
        <v>202</v>
      </c>
      <c r="E61" s="66" t="s">
        <v>274</v>
      </c>
      <c r="F61" s="279">
        <f>5869.601</f>
        <v>5869.6009999999997</v>
      </c>
      <c r="G61" s="101">
        <v>11.313000000000001</v>
      </c>
      <c r="H61" s="289">
        <f t="shared" si="4"/>
        <v>66402.796113000004</v>
      </c>
      <c r="I61" s="335"/>
      <c r="J61" s="310">
        <v>5869.6009999999997</v>
      </c>
      <c r="K61" s="308">
        <v>0</v>
      </c>
      <c r="L61" s="308">
        <v>0</v>
      </c>
      <c r="M61" s="308">
        <v>0</v>
      </c>
      <c r="N61" s="308">
        <v>0</v>
      </c>
      <c r="O61" s="309">
        <f>'Packing List Items'!R168</f>
        <v>328.9</v>
      </c>
      <c r="P61" s="307">
        <f t="shared" si="3"/>
        <v>6198.5009999999993</v>
      </c>
      <c r="Q61" s="271">
        <f t="shared" si="0"/>
        <v>1.0560344732120632</v>
      </c>
      <c r="R61" s="317">
        <f t="shared" si="1"/>
        <v>70123.641812999995</v>
      </c>
      <c r="T61" s="320">
        <f t="shared" si="2"/>
        <v>-3720.8456999999962</v>
      </c>
    </row>
    <row r="62" spans="2:21" s="336" customFormat="1" ht="21.75" customHeight="1">
      <c r="B62" s="65">
        <v>57</v>
      </c>
      <c r="C62" s="345" t="s">
        <v>63</v>
      </c>
      <c r="D62" s="344" t="s">
        <v>203</v>
      </c>
      <c r="E62" s="66" t="s">
        <v>274</v>
      </c>
      <c r="F62" s="279">
        <f>6906.9</f>
        <v>6906.9</v>
      </c>
      <c r="G62" s="101">
        <v>15.084</v>
      </c>
      <c r="H62" s="289">
        <f t="shared" si="4"/>
        <v>104183.67959999999</v>
      </c>
      <c r="I62" s="335"/>
      <c r="J62" s="310">
        <v>6906.9</v>
      </c>
      <c r="K62" s="308">
        <v>0</v>
      </c>
      <c r="L62" s="308">
        <v>0</v>
      </c>
      <c r="M62" s="308">
        <v>0</v>
      </c>
      <c r="N62" s="308">
        <v>0</v>
      </c>
      <c r="O62" s="309">
        <f>'Packing List Items'!R169</f>
        <v>1030.5</v>
      </c>
      <c r="P62" s="307">
        <f t="shared" si="3"/>
        <v>7937.4</v>
      </c>
      <c r="Q62" s="271">
        <f t="shared" si="0"/>
        <v>1.149198627459497</v>
      </c>
      <c r="R62" s="317">
        <f t="shared" si="1"/>
        <v>119727.74159999999</v>
      </c>
      <c r="T62" s="320">
        <f t="shared" si="2"/>
        <v>-15544.062</v>
      </c>
    </row>
    <row r="63" spans="2:21" s="336" customFormat="1" ht="21.75" customHeight="1">
      <c r="B63" s="65">
        <v>58</v>
      </c>
      <c r="C63" s="345" t="s">
        <v>66</v>
      </c>
      <c r="D63" s="344" t="s">
        <v>204</v>
      </c>
      <c r="E63" s="66" t="s">
        <v>274</v>
      </c>
      <c r="F63" s="279">
        <f>2156</f>
        <v>2156</v>
      </c>
      <c r="G63" s="101">
        <v>18.855</v>
      </c>
      <c r="H63" s="289">
        <f t="shared" si="4"/>
        <v>40651.379999999997</v>
      </c>
      <c r="I63" s="335"/>
      <c r="J63" s="310">
        <v>2156</v>
      </c>
      <c r="K63" s="308">
        <v>0</v>
      </c>
      <c r="L63" s="308">
        <v>0</v>
      </c>
      <c r="M63" s="308">
        <v>0</v>
      </c>
      <c r="N63" s="308">
        <v>0</v>
      </c>
      <c r="O63" s="309">
        <f>'Packing List Items'!R170</f>
        <v>125.4</v>
      </c>
      <c r="P63" s="307">
        <f t="shared" si="3"/>
        <v>2281.4</v>
      </c>
      <c r="Q63" s="271">
        <f t="shared" si="0"/>
        <v>1.0581632653061226</v>
      </c>
      <c r="R63" s="317">
        <f t="shared" si="1"/>
        <v>43015.797000000006</v>
      </c>
      <c r="T63" s="320">
        <f t="shared" si="2"/>
        <v>-2364.4170000000017</v>
      </c>
    </row>
    <row r="64" spans="2:21" s="336" customFormat="1" ht="21.75" customHeight="1">
      <c r="B64" s="65">
        <v>59</v>
      </c>
      <c r="C64" s="343" t="s">
        <v>90</v>
      </c>
      <c r="D64" s="344" t="s">
        <v>205</v>
      </c>
      <c r="E64" s="66" t="s">
        <v>265</v>
      </c>
      <c r="F64" s="323">
        <v>1</v>
      </c>
      <c r="G64" s="101"/>
      <c r="H64" s="289">
        <f t="shared" si="4"/>
        <v>0</v>
      </c>
      <c r="I64" s="335"/>
      <c r="J64" s="310">
        <v>0</v>
      </c>
      <c r="K64" s="308">
        <v>0</v>
      </c>
      <c r="L64" s="308">
        <v>0</v>
      </c>
      <c r="M64" s="308">
        <v>0</v>
      </c>
      <c r="N64" s="308">
        <v>0</v>
      </c>
      <c r="O64" s="309">
        <v>0</v>
      </c>
      <c r="P64" s="307">
        <f t="shared" si="3"/>
        <v>0</v>
      </c>
      <c r="Q64" s="270">
        <f t="shared" si="0"/>
        <v>0</v>
      </c>
      <c r="R64" s="317">
        <f t="shared" si="1"/>
        <v>0</v>
      </c>
      <c r="T64" s="321">
        <f t="shared" si="2"/>
        <v>0</v>
      </c>
    </row>
    <row r="65" spans="2:20" s="336" customFormat="1" ht="21.75" customHeight="1">
      <c r="B65" s="65">
        <v>60</v>
      </c>
      <c r="C65" s="345" t="s">
        <v>207</v>
      </c>
      <c r="D65" s="344" t="s">
        <v>208</v>
      </c>
      <c r="E65" s="66" t="s">
        <v>273</v>
      </c>
      <c r="F65" s="278">
        <v>1.1000000000000001</v>
      </c>
      <c r="G65" s="101">
        <v>6.3410000000000002</v>
      </c>
      <c r="H65" s="289">
        <f t="shared" si="4"/>
        <v>6.9751000000000012</v>
      </c>
      <c r="I65" s="335"/>
      <c r="J65" s="310">
        <v>0</v>
      </c>
      <c r="K65" s="310">
        <v>1.1000000000000001</v>
      </c>
      <c r="L65" s="310">
        <v>0</v>
      </c>
      <c r="M65" s="310">
        <v>0</v>
      </c>
      <c r="N65" s="308">
        <v>0</v>
      </c>
      <c r="O65" s="309">
        <v>0</v>
      </c>
      <c r="P65" s="307">
        <f t="shared" si="3"/>
        <v>1.1000000000000001</v>
      </c>
      <c r="Q65" s="158">
        <f t="shared" si="0"/>
        <v>1</v>
      </c>
      <c r="R65" s="317">
        <f t="shared" si="1"/>
        <v>6.9751000000000012</v>
      </c>
      <c r="T65" s="317">
        <f t="shared" si="2"/>
        <v>0</v>
      </c>
    </row>
    <row r="66" spans="2:20" s="336" customFormat="1" ht="21.75" customHeight="1">
      <c r="B66" s="65">
        <v>61</v>
      </c>
      <c r="C66" s="345" t="s">
        <v>209</v>
      </c>
      <c r="D66" s="344" t="s">
        <v>210</v>
      </c>
      <c r="E66" s="66" t="s">
        <v>273</v>
      </c>
      <c r="F66" s="278">
        <v>20.9</v>
      </c>
      <c r="G66" s="101">
        <v>6.95</v>
      </c>
      <c r="H66" s="289">
        <f t="shared" si="4"/>
        <v>145.255</v>
      </c>
      <c r="I66" s="335"/>
      <c r="J66" s="310">
        <v>0</v>
      </c>
      <c r="K66" s="310">
        <v>20.9</v>
      </c>
      <c r="L66" s="310">
        <v>0</v>
      </c>
      <c r="M66" s="310">
        <v>0</v>
      </c>
      <c r="N66" s="308">
        <v>0</v>
      </c>
      <c r="O66" s="309">
        <v>0</v>
      </c>
      <c r="P66" s="307">
        <f t="shared" si="3"/>
        <v>20.9</v>
      </c>
      <c r="Q66" s="158">
        <f t="shared" si="0"/>
        <v>1</v>
      </c>
      <c r="R66" s="317">
        <f t="shared" si="1"/>
        <v>145.255</v>
      </c>
      <c r="T66" s="317">
        <f t="shared" si="2"/>
        <v>0</v>
      </c>
    </row>
    <row r="67" spans="2:20" s="336" customFormat="1" ht="21.75" customHeight="1">
      <c r="B67" s="65">
        <v>62</v>
      </c>
      <c r="C67" s="345" t="s">
        <v>211</v>
      </c>
      <c r="D67" s="344" t="s">
        <v>212</v>
      </c>
      <c r="E67" s="66" t="s">
        <v>273</v>
      </c>
      <c r="F67" s="278">
        <v>8.8000000000000007</v>
      </c>
      <c r="G67" s="101">
        <v>9.6270000000000007</v>
      </c>
      <c r="H67" s="289">
        <f t="shared" si="4"/>
        <v>84.717600000000019</v>
      </c>
      <c r="I67" s="335"/>
      <c r="J67" s="310">
        <v>0</v>
      </c>
      <c r="K67" s="310">
        <v>8.8000000000000007</v>
      </c>
      <c r="L67" s="310">
        <v>0</v>
      </c>
      <c r="M67" s="310">
        <v>0</v>
      </c>
      <c r="N67" s="308">
        <v>0</v>
      </c>
      <c r="O67" s="309">
        <v>0</v>
      </c>
      <c r="P67" s="307">
        <f t="shared" si="3"/>
        <v>8.8000000000000007</v>
      </c>
      <c r="Q67" s="158">
        <f t="shared" si="0"/>
        <v>1</v>
      </c>
      <c r="R67" s="317">
        <f t="shared" si="1"/>
        <v>84.717600000000019</v>
      </c>
      <c r="T67" s="317">
        <f t="shared" si="2"/>
        <v>0</v>
      </c>
    </row>
    <row r="68" spans="2:20" s="336" customFormat="1" ht="21.75" customHeight="1">
      <c r="B68" s="65">
        <v>63</v>
      </c>
      <c r="C68" s="345" t="s">
        <v>213</v>
      </c>
      <c r="D68" s="344" t="s">
        <v>214</v>
      </c>
      <c r="E68" s="66" t="s">
        <v>273</v>
      </c>
      <c r="F68" s="278">
        <v>1.1000000000000001</v>
      </c>
      <c r="G68" s="101">
        <v>14.464</v>
      </c>
      <c r="H68" s="289">
        <f t="shared" si="4"/>
        <v>15.910400000000001</v>
      </c>
      <c r="I68" s="335"/>
      <c r="J68" s="310">
        <v>0</v>
      </c>
      <c r="K68" s="310">
        <v>1.1000000000000001</v>
      </c>
      <c r="L68" s="310">
        <v>0</v>
      </c>
      <c r="M68" s="310">
        <v>0</v>
      </c>
      <c r="N68" s="308">
        <v>0</v>
      </c>
      <c r="O68" s="309">
        <v>0</v>
      </c>
      <c r="P68" s="307">
        <f t="shared" si="3"/>
        <v>1.1000000000000001</v>
      </c>
      <c r="Q68" s="158">
        <f t="shared" si="0"/>
        <v>1</v>
      </c>
      <c r="R68" s="317">
        <f t="shared" si="1"/>
        <v>15.910400000000001</v>
      </c>
      <c r="T68" s="317">
        <f t="shared" si="2"/>
        <v>0</v>
      </c>
    </row>
    <row r="69" spans="2:20" s="336" customFormat="1" ht="21.75" customHeight="1">
      <c r="B69" s="65">
        <v>64</v>
      </c>
      <c r="C69" s="345" t="s">
        <v>215</v>
      </c>
      <c r="D69" s="344" t="s">
        <v>216</v>
      </c>
      <c r="E69" s="66" t="s">
        <v>273</v>
      </c>
      <c r="F69" s="278">
        <v>2.2000000000000002</v>
      </c>
      <c r="G69" s="101">
        <v>12.023999999999999</v>
      </c>
      <c r="H69" s="289">
        <f t="shared" si="4"/>
        <v>26.4528</v>
      </c>
      <c r="I69" s="335"/>
      <c r="J69" s="310">
        <v>0</v>
      </c>
      <c r="K69" s="310">
        <v>2.2000000000000002</v>
      </c>
      <c r="L69" s="310">
        <v>0</v>
      </c>
      <c r="M69" s="310">
        <v>0</v>
      </c>
      <c r="N69" s="308">
        <v>0</v>
      </c>
      <c r="O69" s="309">
        <v>0</v>
      </c>
      <c r="P69" s="307">
        <f t="shared" si="3"/>
        <v>2.2000000000000002</v>
      </c>
      <c r="Q69" s="158">
        <f t="shared" si="0"/>
        <v>1</v>
      </c>
      <c r="R69" s="317">
        <f t="shared" si="1"/>
        <v>26.4528</v>
      </c>
      <c r="T69" s="317">
        <f t="shared" si="2"/>
        <v>0</v>
      </c>
    </row>
    <row r="70" spans="2:20" s="336" customFormat="1" ht="21.75" customHeight="1">
      <c r="B70" s="65">
        <v>65</v>
      </c>
      <c r="C70" s="345" t="s">
        <v>217</v>
      </c>
      <c r="D70" s="344" t="s">
        <v>218</v>
      </c>
      <c r="E70" s="66" t="s">
        <v>273</v>
      </c>
      <c r="F70" s="278">
        <v>908.6</v>
      </c>
      <c r="G70" s="101">
        <v>11.092000000000001</v>
      </c>
      <c r="H70" s="289">
        <f t="shared" si="4"/>
        <v>10078.191200000001</v>
      </c>
      <c r="I70" s="335"/>
      <c r="J70" s="310">
        <v>0</v>
      </c>
      <c r="K70" s="310">
        <v>908.6</v>
      </c>
      <c r="L70" s="310">
        <v>0</v>
      </c>
      <c r="M70" s="310">
        <v>0</v>
      </c>
      <c r="N70" s="308">
        <v>0</v>
      </c>
      <c r="O70" s="309">
        <v>0</v>
      </c>
      <c r="P70" s="307">
        <f t="shared" si="3"/>
        <v>908.6</v>
      </c>
      <c r="Q70" s="158">
        <f t="shared" ref="Q70:Q90" si="5">P70/F70</f>
        <v>1</v>
      </c>
      <c r="R70" s="317">
        <f t="shared" ref="R70:R90" si="6">P70*G70</f>
        <v>10078.191200000001</v>
      </c>
      <c r="T70" s="317">
        <f t="shared" ref="T70:T90" si="7">(F70-P70)*G70</f>
        <v>0</v>
      </c>
    </row>
    <row r="71" spans="2:20" s="336" customFormat="1" ht="21.75" customHeight="1">
      <c r="B71" s="65">
        <v>66</v>
      </c>
      <c r="C71" s="345" t="s">
        <v>219</v>
      </c>
      <c r="D71" s="344" t="s">
        <v>220</v>
      </c>
      <c r="E71" s="66" t="s">
        <v>273</v>
      </c>
      <c r="F71" s="278">
        <v>193.6</v>
      </c>
      <c r="G71" s="101">
        <v>14.625999999999999</v>
      </c>
      <c r="H71" s="289">
        <f t="shared" si="4"/>
        <v>2831.5935999999997</v>
      </c>
      <c r="I71" s="335"/>
      <c r="J71" s="310">
        <v>0</v>
      </c>
      <c r="K71" s="310">
        <v>193.6</v>
      </c>
      <c r="L71" s="310">
        <v>0</v>
      </c>
      <c r="M71" s="310">
        <v>0</v>
      </c>
      <c r="N71" s="308">
        <v>0</v>
      </c>
      <c r="O71" s="309">
        <v>0</v>
      </c>
      <c r="P71" s="307">
        <f t="shared" ref="P71:P90" si="8">SUM(J71:O71)</f>
        <v>193.6</v>
      </c>
      <c r="Q71" s="158">
        <f t="shared" si="5"/>
        <v>1</v>
      </c>
      <c r="R71" s="317">
        <f t="shared" si="6"/>
        <v>2831.5935999999997</v>
      </c>
      <c r="T71" s="317">
        <f t="shared" si="7"/>
        <v>0</v>
      </c>
    </row>
    <row r="72" spans="2:20" s="336" customFormat="1" ht="21.75" customHeight="1">
      <c r="B72" s="65">
        <v>67</v>
      </c>
      <c r="C72" s="345" t="s">
        <v>221</v>
      </c>
      <c r="D72" s="344" t="s">
        <v>222</v>
      </c>
      <c r="E72" s="66" t="s">
        <v>273</v>
      </c>
      <c r="F72" s="278">
        <v>85.8</v>
      </c>
      <c r="G72" s="101">
        <v>21.123000000000001</v>
      </c>
      <c r="H72" s="289">
        <f t="shared" ref="H72:H90" si="9">F72*G72</f>
        <v>1812.3534</v>
      </c>
      <c r="I72" s="335"/>
      <c r="J72" s="310">
        <v>0</v>
      </c>
      <c r="K72" s="310">
        <v>85.8</v>
      </c>
      <c r="L72" s="310">
        <v>0</v>
      </c>
      <c r="M72" s="310">
        <v>0</v>
      </c>
      <c r="N72" s="308">
        <v>0</v>
      </c>
      <c r="O72" s="309">
        <v>0</v>
      </c>
      <c r="P72" s="307">
        <f t="shared" si="8"/>
        <v>85.8</v>
      </c>
      <c r="Q72" s="158">
        <f t="shared" si="5"/>
        <v>1</v>
      </c>
      <c r="R72" s="317">
        <f t="shared" si="6"/>
        <v>1812.3534</v>
      </c>
      <c r="T72" s="317">
        <f t="shared" si="7"/>
        <v>0</v>
      </c>
    </row>
    <row r="73" spans="2:20" s="336" customFormat="1" ht="21.75" customHeight="1">
      <c r="B73" s="65">
        <v>68</v>
      </c>
      <c r="C73" s="345" t="s">
        <v>223</v>
      </c>
      <c r="D73" s="344" t="s">
        <v>224</v>
      </c>
      <c r="E73" s="66" t="s">
        <v>273</v>
      </c>
      <c r="F73" s="278">
        <v>34.1</v>
      </c>
      <c r="G73" s="101">
        <v>25.184000000000001</v>
      </c>
      <c r="H73" s="289">
        <f t="shared" si="9"/>
        <v>858.77440000000013</v>
      </c>
      <c r="I73" s="335"/>
      <c r="J73" s="310">
        <v>0</v>
      </c>
      <c r="K73" s="310">
        <v>34.1</v>
      </c>
      <c r="L73" s="310">
        <v>0</v>
      </c>
      <c r="M73" s="310">
        <v>0</v>
      </c>
      <c r="N73" s="308">
        <v>0</v>
      </c>
      <c r="O73" s="309">
        <v>0</v>
      </c>
      <c r="P73" s="307">
        <f t="shared" si="8"/>
        <v>34.1</v>
      </c>
      <c r="Q73" s="158">
        <f t="shared" si="5"/>
        <v>1</v>
      </c>
      <c r="R73" s="317">
        <f t="shared" si="6"/>
        <v>858.77440000000013</v>
      </c>
      <c r="T73" s="317">
        <f t="shared" si="7"/>
        <v>0</v>
      </c>
    </row>
    <row r="74" spans="2:20" s="336" customFormat="1" ht="21.75" customHeight="1">
      <c r="B74" s="65">
        <v>69</v>
      </c>
      <c r="C74" s="345" t="s">
        <v>225</v>
      </c>
      <c r="D74" s="344" t="s">
        <v>226</v>
      </c>
      <c r="E74" s="66" t="s">
        <v>273</v>
      </c>
      <c r="F74" s="278">
        <v>38.5</v>
      </c>
      <c r="G74" s="101">
        <v>33.512999999999998</v>
      </c>
      <c r="H74" s="289">
        <f t="shared" si="9"/>
        <v>1290.2504999999999</v>
      </c>
      <c r="I74" s="335"/>
      <c r="J74" s="310">
        <v>0</v>
      </c>
      <c r="K74" s="310">
        <f>38.58-0.08</f>
        <v>38.5</v>
      </c>
      <c r="L74" s="310">
        <v>0</v>
      </c>
      <c r="M74" s="310">
        <v>0</v>
      </c>
      <c r="N74" s="308">
        <v>0</v>
      </c>
      <c r="O74" s="309">
        <v>0</v>
      </c>
      <c r="P74" s="307">
        <f t="shared" si="8"/>
        <v>38.5</v>
      </c>
      <c r="Q74" s="158">
        <f t="shared" si="5"/>
        <v>1</v>
      </c>
      <c r="R74" s="317">
        <f t="shared" si="6"/>
        <v>1290.2504999999999</v>
      </c>
      <c r="T74" s="317">
        <f t="shared" si="7"/>
        <v>0</v>
      </c>
    </row>
    <row r="75" spans="2:20" s="336" customFormat="1" ht="21.75" customHeight="1">
      <c r="B75" s="65">
        <v>70</v>
      </c>
      <c r="C75" s="345" t="s">
        <v>291</v>
      </c>
      <c r="D75" s="344" t="s">
        <v>228</v>
      </c>
      <c r="E75" s="66" t="s">
        <v>273</v>
      </c>
      <c r="F75" s="278">
        <v>125.4</v>
      </c>
      <c r="G75" s="101">
        <v>56.052</v>
      </c>
      <c r="H75" s="289">
        <f t="shared" si="9"/>
        <v>7028.9207999999999</v>
      </c>
      <c r="I75" s="335"/>
      <c r="J75" s="310">
        <v>0</v>
      </c>
      <c r="K75" s="310">
        <v>125.4</v>
      </c>
      <c r="L75" s="310">
        <v>0</v>
      </c>
      <c r="M75" s="310">
        <v>0</v>
      </c>
      <c r="N75" s="308">
        <v>0</v>
      </c>
      <c r="O75" s="309">
        <v>0</v>
      </c>
      <c r="P75" s="307">
        <f t="shared" si="8"/>
        <v>125.4</v>
      </c>
      <c r="Q75" s="158">
        <f t="shared" si="5"/>
        <v>1</v>
      </c>
      <c r="R75" s="317">
        <f t="shared" si="6"/>
        <v>7028.9207999999999</v>
      </c>
      <c r="T75" s="317">
        <f t="shared" si="7"/>
        <v>0</v>
      </c>
    </row>
    <row r="76" spans="2:20" s="336" customFormat="1" ht="21.75" customHeight="1">
      <c r="B76" s="65">
        <v>71</v>
      </c>
      <c r="C76" s="345" t="s">
        <v>229</v>
      </c>
      <c r="D76" s="346" t="s">
        <v>230</v>
      </c>
      <c r="E76" s="66" t="s">
        <v>273</v>
      </c>
      <c r="F76" s="278">
        <v>39.6</v>
      </c>
      <c r="G76" s="101">
        <v>44.68</v>
      </c>
      <c r="H76" s="289">
        <f t="shared" si="9"/>
        <v>1769.328</v>
      </c>
      <c r="I76" s="335"/>
      <c r="J76" s="310">
        <v>0</v>
      </c>
      <c r="K76" s="310">
        <v>39.6</v>
      </c>
      <c r="L76" s="310">
        <v>0</v>
      </c>
      <c r="M76" s="310">
        <v>0</v>
      </c>
      <c r="N76" s="308">
        <v>0</v>
      </c>
      <c r="O76" s="309">
        <v>0</v>
      </c>
      <c r="P76" s="307">
        <f t="shared" si="8"/>
        <v>39.6</v>
      </c>
      <c r="Q76" s="158">
        <f t="shared" si="5"/>
        <v>1</v>
      </c>
      <c r="R76" s="317">
        <f t="shared" si="6"/>
        <v>1769.328</v>
      </c>
      <c r="T76" s="317">
        <f t="shared" si="7"/>
        <v>0</v>
      </c>
    </row>
    <row r="77" spans="2:20" s="336" customFormat="1" ht="21.75" customHeight="1">
      <c r="B77" s="65">
        <v>72</v>
      </c>
      <c r="C77" s="345" t="s">
        <v>91</v>
      </c>
      <c r="D77" s="346" t="s">
        <v>233</v>
      </c>
      <c r="E77" s="66" t="s">
        <v>273</v>
      </c>
      <c r="F77" s="278">
        <v>43500</v>
      </c>
      <c r="G77" s="101">
        <v>0.61</v>
      </c>
      <c r="H77" s="289">
        <f t="shared" si="9"/>
        <v>26535</v>
      </c>
      <c r="I77" s="335"/>
      <c r="J77" s="310">
        <v>43500</v>
      </c>
      <c r="K77" s="308">
        <v>0</v>
      </c>
      <c r="L77" s="308">
        <v>0</v>
      </c>
      <c r="M77" s="308">
        <v>0</v>
      </c>
      <c r="N77" s="308">
        <v>0</v>
      </c>
      <c r="O77" s="309">
        <v>0</v>
      </c>
      <c r="P77" s="307">
        <f t="shared" si="8"/>
        <v>43500</v>
      </c>
      <c r="Q77" s="158">
        <f t="shared" si="5"/>
        <v>1</v>
      </c>
      <c r="R77" s="317">
        <f t="shared" si="6"/>
        <v>26535</v>
      </c>
      <c r="T77" s="317">
        <f t="shared" si="7"/>
        <v>0</v>
      </c>
    </row>
    <row r="78" spans="2:20" s="336" customFormat="1" ht="21.75" customHeight="1">
      <c r="B78" s="65">
        <v>73</v>
      </c>
      <c r="C78" s="345" t="s">
        <v>91</v>
      </c>
      <c r="D78" s="346" t="s">
        <v>234</v>
      </c>
      <c r="E78" s="66" t="s">
        <v>273</v>
      </c>
      <c r="F78" s="278">
        <v>13000</v>
      </c>
      <c r="G78" s="101">
        <v>1</v>
      </c>
      <c r="H78" s="289">
        <f t="shared" si="9"/>
        <v>13000</v>
      </c>
      <c r="I78" s="335"/>
      <c r="J78" s="310">
        <v>13000</v>
      </c>
      <c r="K78" s="308">
        <v>0</v>
      </c>
      <c r="L78" s="308">
        <v>0</v>
      </c>
      <c r="M78" s="308">
        <v>0</v>
      </c>
      <c r="N78" s="308">
        <v>0</v>
      </c>
      <c r="O78" s="309">
        <v>0</v>
      </c>
      <c r="P78" s="307">
        <f t="shared" si="8"/>
        <v>13000</v>
      </c>
      <c r="Q78" s="158">
        <f t="shared" si="5"/>
        <v>1</v>
      </c>
      <c r="R78" s="317">
        <f t="shared" si="6"/>
        <v>13000</v>
      </c>
      <c r="T78" s="317">
        <f t="shared" si="7"/>
        <v>0</v>
      </c>
    </row>
    <row r="79" spans="2:20" s="336" customFormat="1" ht="21.75" customHeight="1">
      <c r="B79" s="65">
        <v>74</v>
      </c>
      <c r="C79" s="345" t="s">
        <v>91</v>
      </c>
      <c r="D79" s="346" t="s">
        <v>245</v>
      </c>
      <c r="E79" s="100" t="s">
        <v>264</v>
      </c>
      <c r="F79" s="278">
        <v>72000</v>
      </c>
      <c r="G79" s="101">
        <v>0.08</v>
      </c>
      <c r="H79" s="289">
        <f t="shared" si="9"/>
        <v>5760</v>
      </c>
      <c r="I79" s="335"/>
      <c r="J79" s="310">
        <v>72000</v>
      </c>
      <c r="K79" s="308">
        <v>0</v>
      </c>
      <c r="L79" s="308">
        <v>0</v>
      </c>
      <c r="M79" s="308">
        <v>0</v>
      </c>
      <c r="N79" s="308">
        <v>0</v>
      </c>
      <c r="O79" s="309">
        <v>0</v>
      </c>
      <c r="P79" s="307">
        <f t="shared" si="8"/>
        <v>72000</v>
      </c>
      <c r="Q79" s="158">
        <f t="shared" si="5"/>
        <v>1</v>
      </c>
      <c r="R79" s="317">
        <f t="shared" si="6"/>
        <v>5760</v>
      </c>
      <c r="T79" s="317">
        <f t="shared" si="7"/>
        <v>0</v>
      </c>
    </row>
    <row r="80" spans="2:20" s="336" customFormat="1" ht="21.75" customHeight="1">
      <c r="B80" s="65">
        <v>75</v>
      </c>
      <c r="C80" s="345" t="s">
        <v>91</v>
      </c>
      <c r="D80" s="346" t="s">
        <v>246</v>
      </c>
      <c r="E80" s="100" t="s">
        <v>264</v>
      </c>
      <c r="F80" s="278">
        <v>3500</v>
      </c>
      <c r="G80" s="101">
        <v>0.08</v>
      </c>
      <c r="H80" s="289">
        <f t="shared" si="9"/>
        <v>280</v>
      </c>
      <c r="I80" s="335"/>
      <c r="J80" s="310">
        <v>3500</v>
      </c>
      <c r="K80" s="308">
        <v>0</v>
      </c>
      <c r="L80" s="308">
        <v>0</v>
      </c>
      <c r="M80" s="308">
        <v>0</v>
      </c>
      <c r="N80" s="308">
        <v>0</v>
      </c>
      <c r="O80" s="309">
        <v>0</v>
      </c>
      <c r="P80" s="307">
        <f t="shared" si="8"/>
        <v>3500</v>
      </c>
      <c r="Q80" s="158">
        <f t="shared" si="5"/>
        <v>1</v>
      </c>
      <c r="R80" s="317">
        <f t="shared" si="6"/>
        <v>280</v>
      </c>
      <c r="T80" s="317">
        <f t="shared" si="7"/>
        <v>0</v>
      </c>
    </row>
    <row r="81" spans="2:20" s="336" customFormat="1" ht="21.75" customHeight="1">
      <c r="B81" s="65">
        <v>76</v>
      </c>
      <c r="C81" s="345" t="s">
        <v>91</v>
      </c>
      <c r="D81" s="346" t="s">
        <v>235</v>
      </c>
      <c r="E81" s="100" t="s">
        <v>264</v>
      </c>
      <c r="F81" s="278">
        <v>120000</v>
      </c>
      <c r="G81" s="101">
        <v>6.6000000000000003E-2</v>
      </c>
      <c r="H81" s="289">
        <f t="shared" si="9"/>
        <v>7920</v>
      </c>
      <c r="I81" s="335"/>
      <c r="J81" s="310">
        <v>120000</v>
      </c>
      <c r="K81" s="308">
        <v>0</v>
      </c>
      <c r="L81" s="308">
        <v>0</v>
      </c>
      <c r="M81" s="308">
        <v>0</v>
      </c>
      <c r="N81" s="308">
        <v>0</v>
      </c>
      <c r="O81" s="309">
        <v>0</v>
      </c>
      <c r="P81" s="307">
        <f t="shared" si="8"/>
        <v>120000</v>
      </c>
      <c r="Q81" s="158">
        <f t="shared" si="5"/>
        <v>1</v>
      </c>
      <c r="R81" s="317">
        <f t="shared" si="6"/>
        <v>7920</v>
      </c>
      <c r="T81" s="317">
        <f t="shared" si="7"/>
        <v>0</v>
      </c>
    </row>
    <row r="82" spans="2:20" s="336" customFormat="1" ht="21.75" customHeight="1">
      <c r="B82" s="65">
        <v>77</v>
      </c>
      <c r="C82" s="345" t="s">
        <v>91</v>
      </c>
      <c r="D82" s="346" t="s">
        <v>236</v>
      </c>
      <c r="E82" s="100" t="s">
        <v>264</v>
      </c>
      <c r="F82" s="278">
        <v>80000</v>
      </c>
      <c r="G82" s="101">
        <v>5.7000000000000002E-2</v>
      </c>
      <c r="H82" s="289">
        <f t="shared" si="9"/>
        <v>4560</v>
      </c>
      <c r="I82" s="335"/>
      <c r="J82" s="310">
        <v>80000</v>
      </c>
      <c r="K82" s="308">
        <v>0</v>
      </c>
      <c r="L82" s="308">
        <v>0</v>
      </c>
      <c r="M82" s="308">
        <v>0</v>
      </c>
      <c r="N82" s="308">
        <v>0</v>
      </c>
      <c r="O82" s="309">
        <v>0</v>
      </c>
      <c r="P82" s="307">
        <f t="shared" si="8"/>
        <v>80000</v>
      </c>
      <c r="Q82" s="158">
        <f t="shared" si="5"/>
        <v>1</v>
      </c>
      <c r="R82" s="317">
        <f t="shared" si="6"/>
        <v>4560</v>
      </c>
      <c r="T82" s="317">
        <f t="shared" si="7"/>
        <v>0</v>
      </c>
    </row>
    <row r="83" spans="2:20" s="336" customFormat="1" ht="21.75" customHeight="1">
      <c r="B83" s="65">
        <v>78</v>
      </c>
      <c r="C83" s="345" t="s">
        <v>91</v>
      </c>
      <c r="D83" s="346" t="s">
        <v>237</v>
      </c>
      <c r="E83" s="100" t="s">
        <v>264</v>
      </c>
      <c r="F83" s="278">
        <v>120000</v>
      </c>
      <c r="G83" s="101">
        <v>3.5999999999999997E-2</v>
      </c>
      <c r="H83" s="289">
        <f t="shared" si="9"/>
        <v>4320</v>
      </c>
      <c r="I83" s="335"/>
      <c r="J83" s="310">
        <v>53100</v>
      </c>
      <c r="K83" s="308">
        <v>0</v>
      </c>
      <c r="L83" s="308">
        <v>66900</v>
      </c>
      <c r="M83" s="308">
        <v>0</v>
      </c>
      <c r="N83" s="308">
        <v>0</v>
      </c>
      <c r="O83" s="309">
        <v>0</v>
      </c>
      <c r="P83" s="307">
        <f t="shared" si="8"/>
        <v>120000</v>
      </c>
      <c r="Q83" s="158">
        <f t="shared" si="5"/>
        <v>1</v>
      </c>
      <c r="R83" s="317">
        <f t="shared" si="6"/>
        <v>4320</v>
      </c>
      <c r="T83" s="317">
        <f t="shared" si="7"/>
        <v>0</v>
      </c>
    </row>
    <row r="84" spans="2:20" s="336" customFormat="1" ht="21.75" customHeight="1">
      <c r="B84" s="65">
        <v>79</v>
      </c>
      <c r="C84" s="345" t="s">
        <v>91</v>
      </c>
      <c r="D84" s="346" t="s">
        <v>238</v>
      </c>
      <c r="E84" s="100" t="s">
        <v>264</v>
      </c>
      <c r="F84" s="279">
        <v>3090</v>
      </c>
      <c r="G84" s="101">
        <v>6.6</v>
      </c>
      <c r="H84" s="289">
        <f t="shared" si="9"/>
        <v>20394</v>
      </c>
      <c r="I84" s="335"/>
      <c r="J84" s="310">
        <v>0</v>
      </c>
      <c r="K84" s="308">
        <v>0</v>
      </c>
      <c r="L84" s="308">
        <v>3090</v>
      </c>
      <c r="M84" s="308">
        <v>750</v>
      </c>
      <c r="N84" s="308">
        <v>0</v>
      </c>
      <c r="O84" s="309">
        <v>0</v>
      </c>
      <c r="P84" s="307">
        <f t="shared" si="8"/>
        <v>3840</v>
      </c>
      <c r="Q84" s="271">
        <f t="shared" si="5"/>
        <v>1.2427184466019416</v>
      </c>
      <c r="R84" s="317">
        <f t="shared" si="6"/>
        <v>25344</v>
      </c>
      <c r="T84" s="320">
        <f t="shared" si="7"/>
        <v>-4950</v>
      </c>
    </row>
    <row r="85" spans="2:20" s="336" customFormat="1" ht="21.75" customHeight="1">
      <c r="B85" s="65">
        <v>80</v>
      </c>
      <c r="C85" s="345" t="s">
        <v>91</v>
      </c>
      <c r="D85" s="346" t="s">
        <v>239</v>
      </c>
      <c r="E85" s="100" t="s">
        <v>264</v>
      </c>
      <c r="F85" s="278">
        <v>3200</v>
      </c>
      <c r="G85" s="101">
        <v>0.09</v>
      </c>
      <c r="H85" s="289">
        <f t="shared" si="9"/>
        <v>288</v>
      </c>
      <c r="I85" s="335"/>
      <c r="J85" s="310">
        <v>3200</v>
      </c>
      <c r="K85" s="308">
        <v>0</v>
      </c>
      <c r="L85" s="308">
        <v>0</v>
      </c>
      <c r="M85" s="308">
        <v>0</v>
      </c>
      <c r="N85" s="308">
        <v>0</v>
      </c>
      <c r="O85" s="309">
        <v>0</v>
      </c>
      <c r="P85" s="307">
        <f t="shared" si="8"/>
        <v>3200</v>
      </c>
      <c r="Q85" s="158">
        <f t="shared" si="5"/>
        <v>1</v>
      </c>
      <c r="R85" s="317">
        <f t="shared" si="6"/>
        <v>288</v>
      </c>
      <c r="T85" s="317">
        <f t="shared" si="7"/>
        <v>0</v>
      </c>
    </row>
    <row r="86" spans="2:20" s="336" customFormat="1" ht="21.75" customHeight="1">
      <c r="B86" s="65">
        <v>81</v>
      </c>
      <c r="C86" s="345" t="s">
        <v>91</v>
      </c>
      <c r="D86" s="346" t="s">
        <v>240</v>
      </c>
      <c r="E86" s="66" t="s">
        <v>273</v>
      </c>
      <c r="F86" s="278">
        <v>106000</v>
      </c>
      <c r="G86" s="101">
        <v>0.21</v>
      </c>
      <c r="H86" s="289">
        <f t="shared" si="9"/>
        <v>22260</v>
      </c>
      <c r="I86" s="335"/>
      <c r="J86" s="310">
        <v>106000</v>
      </c>
      <c r="K86" s="308">
        <v>0</v>
      </c>
      <c r="L86" s="308">
        <v>0</v>
      </c>
      <c r="M86" s="308">
        <v>0</v>
      </c>
      <c r="N86" s="308">
        <v>0</v>
      </c>
      <c r="O86" s="309">
        <v>0</v>
      </c>
      <c r="P86" s="307">
        <f t="shared" si="8"/>
        <v>106000</v>
      </c>
      <c r="Q86" s="158">
        <f t="shared" si="5"/>
        <v>1</v>
      </c>
      <c r="R86" s="317">
        <f t="shared" si="6"/>
        <v>22260</v>
      </c>
      <c r="T86" s="317">
        <f t="shared" si="7"/>
        <v>0</v>
      </c>
    </row>
    <row r="87" spans="2:20" s="336" customFormat="1" ht="21.75" customHeight="1">
      <c r="B87" s="65">
        <v>82</v>
      </c>
      <c r="C87" s="345" t="s">
        <v>91</v>
      </c>
      <c r="D87" s="346" t="s">
        <v>241</v>
      </c>
      <c r="E87" s="100" t="s">
        <v>276</v>
      </c>
      <c r="F87" s="278">
        <v>75</v>
      </c>
      <c r="G87" s="101">
        <v>15.95</v>
      </c>
      <c r="H87" s="289">
        <f t="shared" si="9"/>
        <v>1196.25</v>
      </c>
      <c r="I87" s="335"/>
      <c r="J87" s="310">
        <v>75</v>
      </c>
      <c r="K87" s="308">
        <v>0</v>
      </c>
      <c r="L87" s="308">
        <v>0</v>
      </c>
      <c r="M87" s="308">
        <v>0</v>
      </c>
      <c r="N87" s="308">
        <v>0</v>
      </c>
      <c r="O87" s="309">
        <v>0</v>
      </c>
      <c r="P87" s="307">
        <f t="shared" si="8"/>
        <v>75</v>
      </c>
      <c r="Q87" s="158">
        <f t="shared" si="5"/>
        <v>1</v>
      </c>
      <c r="R87" s="317">
        <f t="shared" si="6"/>
        <v>1196.25</v>
      </c>
      <c r="T87" s="317">
        <f t="shared" si="7"/>
        <v>0</v>
      </c>
    </row>
    <row r="88" spans="2:20" s="336" customFormat="1" ht="21.75" customHeight="1">
      <c r="B88" s="65">
        <v>83</v>
      </c>
      <c r="C88" s="345" t="s">
        <v>91</v>
      </c>
      <c r="D88" s="346" t="s">
        <v>104</v>
      </c>
      <c r="E88" s="100" t="s">
        <v>275</v>
      </c>
      <c r="F88" s="278">
        <v>2075</v>
      </c>
      <c r="G88" s="101">
        <v>2.65</v>
      </c>
      <c r="H88" s="289">
        <f t="shared" si="9"/>
        <v>5498.75</v>
      </c>
      <c r="I88" s="335"/>
      <c r="J88" s="310">
        <v>2075</v>
      </c>
      <c r="K88" s="308">
        <v>0</v>
      </c>
      <c r="L88" s="308">
        <v>0</v>
      </c>
      <c r="M88" s="308">
        <v>0</v>
      </c>
      <c r="N88" s="308">
        <v>0</v>
      </c>
      <c r="O88" s="309">
        <v>0</v>
      </c>
      <c r="P88" s="307">
        <f t="shared" si="8"/>
        <v>2075</v>
      </c>
      <c r="Q88" s="158">
        <f t="shared" si="5"/>
        <v>1</v>
      </c>
      <c r="R88" s="317">
        <f t="shared" si="6"/>
        <v>5498.75</v>
      </c>
      <c r="T88" s="317">
        <f t="shared" si="7"/>
        <v>0</v>
      </c>
    </row>
    <row r="89" spans="2:20" s="336" customFormat="1" ht="21.75" customHeight="1">
      <c r="B89" s="65">
        <v>84</v>
      </c>
      <c r="C89" s="345" t="s">
        <v>91</v>
      </c>
      <c r="D89" s="346" t="s">
        <v>106</v>
      </c>
      <c r="E89" s="100" t="s">
        <v>275</v>
      </c>
      <c r="F89" s="278">
        <v>550</v>
      </c>
      <c r="G89" s="101">
        <v>3</v>
      </c>
      <c r="H89" s="289">
        <f t="shared" si="9"/>
        <v>1650</v>
      </c>
      <c r="I89" s="335"/>
      <c r="J89" s="310">
        <v>550</v>
      </c>
      <c r="K89" s="308">
        <v>0</v>
      </c>
      <c r="L89" s="308">
        <v>0</v>
      </c>
      <c r="M89" s="308">
        <v>0</v>
      </c>
      <c r="N89" s="308">
        <v>0</v>
      </c>
      <c r="O89" s="309">
        <v>0</v>
      </c>
      <c r="P89" s="307">
        <f t="shared" si="8"/>
        <v>550</v>
      </c>
      <c r="Q89" s="158">
        <f t="shared" si="5"/>
        <v>1</v>
      </c>
      <c r="R89" s="317">
        <f t="shared" si="6"/>
        <v>1650</v>
      </c>
      <c r="T89" s="317">
        <f t="shared" si="7"/>
        <v>0</v>
      </c>
    </row>
    <row r="90" spans="2:20" s="336" customFormat="1" ht="21.75" customHeight="1">
      <c r="B90" s="69">
        <v>85</v>
      </c>
      <c r="C90" s="347" t="s">
        <v>91</v>
      </c>
      <c r="D90" s="348" t="s">
        <v>107</v>
      </c>
      <c r="E90" s="70" t="s">
        <v>275</v>
      </c>
      <c r="F90" s="280">
        <v>750</v>
      </c>
      <c r="G90" s="71">
        <v>1.3</v>
      </c>
      <c r="H90" s="290">
        <f t="shared" si="9"/>
        <v>975</v>
      </c>
      <c r="I90" s="335"/>
      <c r="J90" s="311">
        <v>750</v>
      </c>
      <c r="K90" s="311">
        <v>0</v>
      </c>
      <c r="L90" s="311">
        <v>0</v>
      </c>
      <c r="M90" s="311">
        <v>0</v>
      </c>
      <c r="N90" s="311">
        <v>0</v>
      </c>
      <c r="O90" s="350">
        <v>0</v>
      </c>
      <c r="P90" s="349">
        <f t="shared" si="8"/>
        <v>750</v>
      </c>
      <c r="Q90" s="159">
        <f t="shared" si="5"/>
        <v>1</v>
      </c>
      <c r="R90" s="318">
        <f t="shared" si="6"/>
        <v>975</v>
      </c>
      <c r="T90" s="318">
        <f t="shared" si="7"/>
        <v>0</v>
      </c>
    </row>
    <row r="91" spans="2:20" ht="5.0999999999999996" customHeight="1">
      <c r="D91" s="73"/>
      <c r="E91" s="73"/>
      <c r="F91" s="281"/>
      <c r="G91" s="74"/>
      <c r="H91" s="291"/>
      <c r="I91" s="76"/>
      <c r="J91" s="283"/>
      <c r="K91" s="283"/>
      <c r="L91" s="283"/>
      <c r="M91" s="283"/>
      <c r="N91" s="283"/>
      <c r="O91" s="283"/>
      <c r="P91" s="283"/>
      <c r="Q91" s="77"/>
      <c r="R91" s="319"/>
      <c r="T91" s="319"/>
    </row>
    <row r="92" spans="2:20" s="79" customFormat="1" ht="24" thickBot="1">
      <c r="D92" s="80"/>
      <c r="E92" s="80"/>
      <c r="F92" s="282">
        <f>SUM(F6:F91)</f>
        <v>607645.96100000001</v>
      </c>
      <c r="G92" s="81"/>
      <c r="H92" s="292">
        <f>SUBTOTAL(9,H6:H90)</f>
        <v>543199.13621300005</v>
      </c>
      <c r="I92" s="82"/>
      <c r="J92" s="312">
        <f t="shared" ref="J92:O92" si="10">SUM(J6:J91)</f>
        <v>517019.00099999999</v>
      </c>
      <c r="K92" s="312">
        <f t="shared" si="10"/>
        <v>8042.9600000000009</v>
      </c>
      <c r="L92" s="312">
        <f t="shared" si="10"/>
        <v>75058</v>
      </c>
      <c r="M92" s="312">
        <f t="shared" si="10"/>
        <v>8931.6</v>
      </c>
      <c r="N92" s="312">
        <f t="shared" si="10"/>
        <v>4720.08</v>
      </c>
      <c r="O92" s="312">
        <f t="shared" si="10"/>
        <v>4572.7999999999993</v>
      </c>
      <c r="P92" s="312"/>
      <c r="Q92" s="83"/>
      <c r="R92" s="292">
        <f>SUM(R6:R91)</f>
        <v>601470.75691300014</v>
      </c>
      <c r="T92" s="292">
        <f>SUM(T6:T91)</f>
        <v>-58271.620699999992</v>
      </c>
    </row>
    <row r="93" spans="2:20" ht="20.100000000000001" customHeight="1" thickTop="1">
      <c r="D93" s="73"/>
      <c r="E93" s="73"/>
      <c r="F93" s="283"/>
      <c r="G93" s="85"/>
      <c r="H93" s="293"/>
      <c r="I93" s="73"/>
      <c r="J93" s="281"/>
      <c r="K93" s="281"/>
      <c r="L93" s="281"/>
      <c r="M93" s="281"/>
      <c r="N93" s="281"/>
      <c r="O93" s="281"/>
      <c r="P93" s="281"/>
      <c r="Q93" s="73"/>
      <c r="R93" s="281"/>
      <c r="T93" s="281"/>
    </row>
    <row r="94" spans="2:20" ht="33.75">
      <c r="B94" s="48" t="s">
        <v>266</v>
      </c>
      <c r="C94" s="48"/>
      <c r="D94" s="86"/>
      <c r="E94" s="48"/>
      <c r="F94" s="284"/>
      <c r="G94" s="86"/>
      <c r="H94" s="294" t="s">
        <v>267</v>
      </c>
      <c r="I94" s="88"/>
      <c r="J94" s="313" t="s">
        <v>268</v>
      </c>
      <c r="K94" s="313"/>
      <c r="L94" s="313"/>
      <c r="M94" s="313"/>
      <c r="N94" s="313"/>
      <c r="O94" s="313"/>
      <c r="P94" s="313"/>
      <c r="Q94" s="48"/>
      <c r="R94" s="284"/>
      <c r="T94" s="284"/>
    </row>
    <row r="95" spans="2:20" ht="6" customHeight="1">
      <c r="G95" s="49"/>
      <c r="H95" s="295"/>
      <c r="I95" s="88"/>
    </row>
    <row r="96" spans="2:20" s="89" customFormat="1" ht="20.25" customHeight="1">
      <c r="B96" s="89" t="s">
        <v>280</v>
      </c>
      <c r="F96" s="285"/>
      <c r="H96" s="296">
        <f>R92</f>
        <v>601470.75691300014</v>
      </c>
      <c r="I96" s="90"/>
      <c r="J96" s="450" t="s">
        <v>496</v>
      </c>
      <c r="K96" s="450"/>
      <c r="L96" s="450"/>
      <c r="M96" s="450"/>
      <c r="N96" s="450"/>
      <c r="O96" s="450"/>
      <c r="P96" s="450"/>
      <c r="Q96" s="450"/>
      <c r="R96" s="450"/>
      <c r="T96" s="285"/>
    </row>
    <row r="97" spans="2:25" s="89" customFormat="1" ht="21.95" customHeight="1">
      <c r="B97" s="89" t="s">
        <v>293</v>
      </c>
      <c r="F97" s="285"/>
      <c r="H97" s="297">
        <f>'کنترل قرارداد (5)'!H96</f>
        <v>579834.45140000014</v>
      </c>
      <c r="I97" s="90"/>
      <c r="J97" s="450"/>
      <c r="K97" s="450"/>
      <c r="L97" s="450"/>
      <c r="M97" s="450"/>
      <c r="N97" s="450"/>
      <c r="O97" s="450"/>
      <c r="P97" s="450"/>
      <c r="Q97" s="450"/>
      <c r="R97" s="450"/>
      <c r="T97" s="285"/>
    </row>
    <row r="98" spans="2:25" s="89" customFormat="1" ht="21.95" customHeight="1">
      <c r="B98" s="89" t="s">
        <v>494</v>
      </c>
      <c r="F98" s="285"/>
      <c r="H98" s="296">
        <f>H96-H97</f>
        <v>21636.305512999999</v>
      </c>
      <c r="I98" s="90"/>
      <c r="J98" s="450"/>
      <c r="K98" s="450"/>
      <c r="L98" s="450"/>
      <c r="M98" s="450"/>
      <c r="N98" s="450"/>
      <c r="O98" s="450"/>
      <c r="P98" s="450"/>
      <c r="Q98" s="450"/>
      <c r="R98" s="450"/>
      <c r="T98" s="285"/>
    </row>
    <row r="99" spans="2:25" ht="21.95" customHeight="1">
      <c r="B99" s="92" t="s">
        <v>269</v>
      </c>
      <c r="C99" s="92"/>
      <c r="D99" s="89"/>
      <c r="E99" s="92"/>
      <c r="F99" s="285"/>
      <c r="G99" s="89"/>
      <c r="H99" s="298">
        <f>(H98*9%)</f>
        <v>1947.26749617</v>
      </c>
      <c r="I99" s="93"/>
      <c r="J99" s="450"/>
      <c r="K99" s="450"/>
      <c r="L99" s="450"/>
      <c r="M99" s="450"/>
      <c r="N99" s="450"/>
      <c r="O99" s="450"/>
      <c r="P99" s="450"/>
      <c r="Q99" s="450"/>
      <c r="R99" s="450"/>
      <c r="V99" s="49">
        <v>12942.176023170003</v>
      </c>
      <c r="X99" s="49">
        <v>12942.18</v>
      </c>
      <c r="Y99" s="49">
        <v>3.9768299975548897E-3</v>
      </c>
    </row>
    <row r="100" spans="2:25" ht="21.95" customHeight="1">
      <c r="B100" s="268"/>
      <c r="C100" s="268"/>
      <c r="E100" s="268"/>
      <c r="G100" s="49"/>
      <c r="H100" s="299"/>
      <c r="I100" s="269"/>
      <c r="J100" s="450"/>
      <c r="K100" s="450"/>
      <c r="L100" s="450"/>
      <c r="M100" s="450"/>
      <c r="N100" s="450"/>
      <c r="O100" s="450"/>
      <c r="P100" s="450"/>
      <c r="Q100" s="450"/>
      <c r="R100" s="450"/>
    </row>
    <row r="101" spans="2:25" ht="21.95" customHeight="1" thickBot="1">
      <c r="B101" s="94" t="s">
        <v>308</v>
      </c>
      <c r="C101" s="92"/>
      <c r="D101" s="89"/>
      <c r="E101" s="92"/>
      <c r="F101" s="285"/>
      <c r="G101" s="89"/>
      <c r="H101" s="300">
        <f>SUM(H98:H99)</f>
        <v>23583.573009169999</v>
      </c>
      <c r="I101" s="93"/>
      <c r="J101" s="450"/>
      <c r="K101" s="450"/>
      <c r="L101" s="450"/>
      <c r="M101" s="450"/>
      <c r="N101" s="450"/>
      <c r="O101" s="450"/>
      <c r="P101" s="450"/>
      <c r="Q101" s="450"/>
      <c r="R101" s="450"/>
    </row>
    <row r="102" spans="2:25" ht="21.95" customHeight="1" thickTop="1">
      <c r="B102" s="94"/>
      <c r="C102" s="92"/>
      <c r="D102" s="89"/>
      <c r="E102" s="92"/>
      <c r="F102" s="285"/>
      <c r="G102" s="89"/>
      <c r="H102" s="301"/>
      <c r="I102" s="93"/>
      <c r="J102" s="450"/>
      <c r="K102" s="450"/>
      <c r="L102" s="450"/>
      <c r="M102" s="450"/>
      <c r="N102" s="450"/>
      <c r="O102" s="450"/>
      <c r="P102" s="450"/>
      <c r="Q102" s="450"/>
      <c r="R102" s="450"/>
    </row>
    <row r="103" spans="2:25" ht="21.95" customHeight="1">
      <c r="B103" s="92" t="s">
        <v>493</v>
      </c>
      <c r="C103" s="92"/>
      <c r="D103" s="89"/>
      <c r="E103" s="92"/>
      <c r="F103" s="285"/>
      <c r="G103" s="89"/>
      <c r="H103" s="302">
        <f>H98</f>
        <v>21636.305512999999</v>
      </c>
      <c r="J103" s="450"/>
      <c r="K103" s="450"/>
      <c r="L103" s="450"/>
      <c r="M103" s="450"/>
      <c r="N103" s="450"/>
      <c r="O103" s="450"/>
      <c r="P103" s="450"/>
      <c r="Q103" s="450"/>
      <c r="R103" s="450"/>
    </row>
    <row r="104" spans="2:25" ht="21.95" customHeight="1">
      <c r="B104" s="92" t="s">
        <v>269</v>
      </c>
      <c r="C104" s="92"/>
      <c r="D104" s="89"/>
      <c r="E104" s="92"/>
      <c r="F104" s="285"/>
      <c r="G104" s="89"/>
      <c r="H104" s="298">
        <f>(H103*9%)</f>
        <v>1947.26749617</v>
      </c>
      <c r="I104" s="93"/>
      <c r="J104" s="450"/>
      <c r="K104" s="450"/>
      <c r="L104" s="450"/>
      <c r="M104" s="450"/>
      <c r="N104" s="450"/>
      <c r="O104" s="450"/>
      <c r="P104" s="450"/>
      <c r="Q104" s="450"/>
      <c r="R104" s="450"/>
      <c r="V104" s="49">
        <v>12942.176023170003</v>
      </c>
      <c r="X104" s="49">
        <v>12942.18</v>
      </c>
      <c r="Y104" s="49">
        <v>3.9768299975548897E-3</v>
      </c>
    </row>
    <row r="105" spans="2:25" ht="21.95" customHeight="1">
      <c r="B105" s="89" t="s">
        <v>270</v>
      </c>
      <c r="C105" s="89"/>
      <c r="D105" s="89"/>
      <c r="E105" s="89"/>
      <c r="F105" s="285"/>
      <c r="G105" s="95"/>
      <c r="H105" s="303">
        <f>SUM(H103:H104)</f>
        <v>23583.573009169999</v>
      </c>
      <c r="J105" s="450"/>
      <c r="K105" s="450"/>
      <c r="L105" s="450"/>
      <c r="M105" s="450"/>
      <c r="N105" s="450"/>
      <c r="O105" s="450"/>
      <c r="P105" s="450"/>
      <c r="Q105" s="450"/>
      <c r="R105" s="450"/>
    </row>
    <row r="106" spans="2:25" ht="21.95" customHeight="1">
      <c r="B106" s="89" t="s">
        <v>302</v>
      </c>
      <c r="C106" s="89"/>
      <c r="D106" s="89"/>
      <c r="E106" s="89"/>
      <c r="F106" s="285"/>
      <c r="G106" s="95"/>
      <c r="H106" s="304">
        <v>0</v>
      </c>
      <c r="J106" s="450"/>
      <c r="K106" s="450"/>
      <c r="L106" s="450"/>
      <c r="M106" s="450"/>
      <c r="N106" s="450"/>
      <c r="O106" s="450"/>
      <c r="P106" s="450"/>
      <c r="Q106" s="450"/>
      <c r="R106" s="450"/>
    </row>
    <row r="107" spans="2:25" ht="21.95" customHeight="1" thickBot="1">
      <c r="B107" s="94" t="s">
        <v>492</v>
      </c>
      <c r="C107" s="89"/>
      <c r="D107" s="89"/>
      <c r="E107" s="89"/>
      <c r="F107" s="285"/>
      <c r="G107" s="95"/>
      <c r="H107" s="305">
        <f>SUM(H105:H106)</f>
        <v>23583.573009169999</v>
      </c>
      <c r="J107" s="450"/>
      <c r="K107" s="450"/>
      <c r="L107" s="450"/>
      <c r="M107" s="450"/>
      <c r="N107" s="450"/>
      <c r="O107" s="450"/>
      <c r="P107" s="450"/>
      <c r="Q107" s="450"/>
      <c r="R107" s="450"/>
    </row>
    <row r="108" spans="2:25" ht="21.95" customHeight="1" thickTop="1">
      <c r="B108" s="89"/>
      <c r="C108" s="89"/>
      <c r="D108" s="89"/>
      <c r="E108" s="89"/>
      <c r="F108" s="285"/>
      <c r="G108" s="95"/>
      <c r="H108" s="306"/>
      <c r="J108" s="450"/>
      <c r="K108" s="450"/>
      <c r="L108" s="450"/>
      <c r="M108" s="450"/>
      <c r="N108" s="450"/>
      <c r="O108" s="450"/>
      <c r="P108" s="450"/>
      <c r="Q108" s="450"/>
      <c r="R108" s="450"/>
    </row>
    <row r="109" spans="2:25" ht="21.95" customHeight="1">
      <c r="B109" s="89"/>
      <c r="C109" s="89"/>
      <c r="D109" s="89"/>
      <c r="E109" s="89"/>
      <c r="F109" s="285"/>
      <c r="G109" s="98"/>
      <c r="H109" s="303"/>
      <c r="J109" s="450"/>
      <c r="K109" s="450"/>
      <c r="L109" s="450"/>
      <c r="M109" s="450"/>
      <c r="N109" s="450"/>
      <c r="O109" s="450"/>
      <c r="P109" s="450"/>
      <c r="Q109" s="450"/>
      <c r="R109" s="450"/>
    </row>
    <row r="110" spans="2:25" ht="21.95" customHeight="1">
      <c r="B110" s="89"/>
      <c r="C110" s="89"/>
      <c r="D110" s="89"/>
      <c r="E110" s="89"/>
      <c r="F110" s="285"/>
      <c r="G110" s="98"/>
      <c r="H110" s="303"/>
      <c r="J110" s="450"/>
      <c r="K110" s="450"/>
      <c r="L110" s="450"/>
      <c r="M110" s="450"/>
      <c r="N110" s="450"/>
      <c r="O110" s="450"/>
      <c r="P110" s="450"/>
      <c r="Q110" s="450"/>
      <c r="R110" s="450"/>
    </row>
    <row r="111" spans="2:25" ht="21.95" customHeight="1">
      <c r="J111" s="450"/>
      <c r="K111" s="450"/>
      <c r="L111" s="450"/>
      <c r="M111" s="450"/>
      <c r="N111" s="450"/>
      <c r="O111" s="450"/>
      <c r="P111" s="450"/>
      <c r="Q111" s="450"/>
      <c r="R111" s="450"/>
    </row>
    <row r="112" spans="2:25" ht="21.95" customHeight="1">
      <c r="J112" s="314"/>
      <c r="K112" s="314"/>
      <c r="L112" s="314"/>
      <c r="M112" s="314"/>
      <c r="N112" s="314"/>
      <c r="O112" s="314"/>
      <c r="P112" s="314"/>
      <c r="Q112" s="201"/>
      <c r="R112" s="314"/>
    </row>
    <row r="113" spans="10:18" ht="19.5" customHeight="1">
      <c r="J113" s="314"/>
      <c r="K113" s="314"/>
      <c r="L113" s="314"/>
      <c r="M113" s="314"/>
      <c r="N113" s="314"/>
      <c r="O113" s="314"/>
      <c r="P113" s="314"/>
      <c r="Q113" s="201"/>
      <c r="R113" s="314"/>
    </row>
    <row r="114" spans="10:18" ht="19.5" customHeight="1">
      <c r="J114" s="314"/>
      <c r="K114" s="314"/>
      <c r="L114" s="314"/>
      <c r="M114" s="314"/>
      <c r="N114" s="314"/>
      <c r="O114" s="314"/>
      <c r="P114" s="314"/>
      <c r="Q114" s="201"/>
      <c r="R114" s="314"/>
    </row>
    <row r="115" spans="10:18" ht="19.5" customHeight="1">
      <c r="J115" s="314"/>
      <c r="K115" s="314"/>
      <c r="L115" s="314"/>
      <c r="M115" s="314"/>
      <c r="N115" s="314"/>
      <c r="O115" s="314"/>
      <c r="P115" s="314"/>
      <c r="Q115" s="201"/>
      <c r="R115" s="314"/>
    </row>
    <row r="116" spans="10:18" ht="19.5" customHeight="1">
      <c r="J116" s="314"/>
      <c r="K116" s="314"/>
      <c r="L116" s="314"/>
      <c r="M116" s="314"/>
      <c r="N116" s="314"/>
      <c r="O116" s="314"/>
      <c r="P116" s="314"/>
      <c r="Q116" s="201"/>
      <c r="R116" s="314"/>
    </row>
  </sheetData>
  <autoFilter ref="A5:T90" xr:uid="{2677F53A-618D-4F2A-ACD6-49F1DBDD5742}"/>
  <mergeCells count="1">
    <mergeCell ref="J96:R111"/>
  </mergeCells>
  <printOptions horizontalCentered="1"/>
  <pageMargins left="0" right="0" top="0.75" bottom="0.35" header="0.3" footer="0.3"/>
  <pageSetup scale="44" fitToHeight="0" orientation="portrait" r:id="rId1"/>
  <headerFooter>
    <oddFooter>&amp;Cصفحه &amp;P از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11"/>
  <sheetViews>
    <sheetView rightToLeft="1" view="pageBreakPreview" zoomScaleNormal="100" zoomScaleSheetLayoutView="100" workbookViewId="0">
      <pane ySplit="1" topLeftCell="A2" activePane="bottomLeft" state="frozen"/>
      <selection pane="bottomLeft" activeCell="L219" sqref="L219"/>
    </sheetView>
  </sheetViews>
  <sheetFormatPr defaultRowHeight="1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12" bestFit="1" customWidth="1"/>
    <col min="7" max="8" width="7" customWidth="1"/>
    <col min="9" max="9" width="12" bestFit="1" customWidth="1"/>
    <col min="10" max="10" width="11.42578125" customWidth="1"/>
    <col min="11" max="11" width="11.42578125" bestFit="1" customWidth="1"/>
    <col min="12" max="12" width="51.7109375" style="240" customWidth="1"/>
    <col min="13" max="13" width="11.85546875" customWidth="1"/>
    <col min="14" max="17" width="7.140625" customWidth="1"/>
    <col min="18" max="22" width="11.85546875" customWidth="1"/>
  </cols>
  <sheetData>
    <row r="1" spans="1:22">
      <c r="A1" s="3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39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4" t="s">
        <v>18</v>
      </c>
      <c r="T1" s="6" t="s">
        <v>19</v>
      </c>
      <c r="U1" s="4" t="s">
        <v>20</v>
      </c>
      <c r="V1" s="4" t="s">
        <v>21</v>
      </c>
    </row>
    <row r="2" spans="1:22" s="246" customFormat="1" hidden="1">
      <c r="A2" s="241">
        <v>1</v>
      </c>
      <c r="B2" s="242" t="s">
        <v>22</v>
      </c>
      <c r="C2" s="243">
        <v>44803</v>
      </c>
      <c r="D2" s="242" t="s">
        <v>23</v>
      </c>
      <c r="E2" s="242" t="s">
        <v>24</v>
      </c>
      <c r="F2" s="242" t="s">
        <v>25</v>
      </c>
      <c r="G2" s="242" t="s">
        <v>26</v>
      </c>
      <c r="H2" s="242"/>
      <c r="I2" s="242" t="s">
        <v>27</v>
      </c>
      <c r="J2" s="242" t="s">
        <v>28</v>
      </c>
      <c r="K2" s="242" t="s">
        <v>29</v>
      </c>
      <c r="L2" s="244" t="s">
        <v>30</v>
      </c>
      <c r="M2" s="245">
        <v>270</v>
      </c>
      <c r="N2" s="245"/>
      <c r="O2" s="245"/>
      <c r="P2" s="245"/>
      <c r="Q2" s="245"/>
      <c r="R2" s="245">
        <v>270</v>
      </c>
      <c r="S2" s="242" t="s">
        <v>31</v>
      </c>
      <c r="T2" s="245"/>
      <c r="U2" s="242"/>
      <c r="V2" s="242"/>
    </row>
    <row r="3" spans="1:22" s="246" customFormat="1" hidden="1">
      <c r="A3" s="241">
        <v>2</v>
      </c>
      <c r="B3" s="242" t="s">
        <v>32</v>
      </c>
      <c r="C3" s="243">
        <v>44803</v>
      </c>
      <c r="D3" s="242" t="s">
        <v>33</v>
      </c>
      <c r="E3" s="242" t="s">
        <v>24</v>
      </c>
      <c r="F3" s="242" t="s">
        <v>25</v>
      </c>
      <c r="G3" s="242" t="s">
        <v>34</v>
      </c>
      <c r="H3" s="242"/>
      <c r="I3" s="242" t="s">
        <v>27</v>
      </c>
      <c r="J3" s="242" t="s">
        <v>28</v>
      </c>
      <c r="K3" s="242" t="s">
        <v>35</v>
      </c>
      <c r="L3" s="244" t="s">
        <v>36</v>
      </c>
      <c r="M3" s="245">
        <v>22</v>
      </c>
      <c r="N3" s="245"/>
      <c r="O3" s="245"/>
      <c r="P3" s="245"/>
      <c r="Q3" s="245"/>
      <c r="R3" s="245">
        <v>22</v>
      </c>
      <c r="S3" s="242" t="s">
        <v>31</v>
      </c>
      <c r="T3" s="245"/>
      <c r="U3" s="242"/>
      <c r="V3" s="242"/>
    </row>
    <row r="4" spans="1:22" s="246" customFormat="1" hidden="1">
      <c r="A4" s="241">
        <v>3</v>
      </c>
      <c r="B4" s="242" t="s">
        <v>32</v>
      </c>
      <c r="C4" s="243">
        <v>44803</v>
      </c>
      <c r="D4" s="242" t="s">
        <v>33</v>
      </c>
      <c r="E4" s="242" t="s">
        <v>24</v>
      </c>
      <c r="F4" s="242" t="s">
        <v>25</v>
      </c>
      <c r="G4" s="242" t="s">
        <v>34</v>
      </c>
      <c r="H4" s="242"/>
      <c r="I4" s="242" t="s">
        <v>27</v>
      </c>
      <c r="J4" s="242" t="s">
        <v>28</v>
      </c>
      <c r="K4" s="242" t="s">
        <v>37</v>
      </c>
      <c r="L4" s="244" t="s">
        <v>38</v>
      </c>
      <c r="M4" s="245">
        <v>1.5</v>
      </c>
      <c r="N4" s="245"/>
      <c r="O4" s="245"/>
      <c r="P4" s="245"/>
      <c r="Q4" s="245"/>
      <c r="R4" s="245">
        <v>1.5</v>
      </c>
      <c r="S4" s="242" t="s">
        <v>31</v>
      </c>
      <c r="T4" s="245"/>
      <c r="U4" s="242"/>
      <c r="V4" s="242"/>
    </row>
    <row r="5" spans="1:22" s="246" customFormat="1" hidden="1">
      <c r="A5" s="241">
        <v>4</v>
      </c>
      <c r="B5" s="242" t="s">
        <v>32</v>
      </c>
      <c r="C5" s="243">
        <v>44803</v>
      </c>
      <c r="D5" s="242" t="s">
        <v>33</v>
      </c>
      <c r="E5" s="242" t="s">
        <v>24</v>
      </c>
      <c r="F5" s="242" t="s">
        <v>25</v>
      </c>
      <c r="G5" s="242" t="s">
        <v>34</v>
      </c>
      <c r="H5" s="242"/>
      <c r="I5" s="242" t="s">
        <v>27</v>
      </c>
      <c r="J5" s="242" t="s">
        <v>28</v>
      </c>
      <c r="K5" s="242" t="s">
        <v>39</v>
      </c>
      <c r="L5" s="244" t="s">
        <v>40</v>
      </c>
      <c r="M5" s="245">
        <v>3.5</v>
      </c>
      <c r="N5" s="245"/>
      <c r="O5" s="245"/>
      <c r="P5" s="245"/>
      <c r="Q5" s="245"/>
      <c r="R5" s="245">
        <v>3.5</v>
      </c>
      <c r="S5" s="242" t="s">
        <v>31</v>
      </c>
      <c r="T5" s="245"/>
      <c r="U5" s="242"/>
      <c r="V5" s="242"/>
    </row>
    <row r="6" spans="1:22" s="246" customFormat="1" hidden="1">
      <c r="A6" s="241">
        <v>5</v>
      </c>
      <c r="B6" s="242" t="s">
        <v>32</v>
      </c>
      <c r="C6" s="243">
        <v>44803</v>
      </c>
      <c r="D6" s="242" t="s">
        <v>33</v>
      </c>
      <c r="E6" s="242" t="s">
        <v>24</v>
      </c>
      <c r="F6" s="242" t="s">
        <v>25</v>
      </c>
      <c r="G6" s="242" t="s">
        <v>34</v>
      </c>
      <c r="H6" s="242"/>
      <c r="I6" s="242" t="s">
        <v>27</v>
      </c>
      <c r="J6" s="242" t="s">
        <v>28</v>
      </c>
      <c r="K6" s="242" t="s">
        <v>41</v>
      </c>
      <c r="L6" s="244" t="s">
        <v>42</v>
      </c>
      <c r="M6" s="245">
        <v>110</v>
      </c>
      <c r="N6" s="245"/>
      <c r="O6" s="245"/>
      <c r="P6" s="245"/>
      <c r="Q6" s="245"/>
      <c r="R6" s="245">
        <v>110</v>
      </c>
      <c r="S6" s="242" t="s">
        <v>31</v>
      </c>
      <c r="T6" s="245"/>
      <c r="U6" s="242"/>
      <c r="V6" s="242"/>
    </row>
    <row r="7" spans="1:22" s="246" customFormat="1" hidden="1">
      <c r="A7" s="241">
        <v>6</v>
      </c>
      <c r="B7" s="242" t="s">
        <v>32</v>
      </c>
      <c r="C7" s="243">
        <v>44803</v>
      </c>
      <c r="D7" s="242" t="s">
        <v>33</v>
      </c>
      <c r="E7" s="242" t="s">
        <v>24</v>
      </c>
      <c r="F7" s="242" t="s">
        <v>25</v>
      </c>
      <c r="G7" s="242" t="s">
        <v>34</v>
      </c>
      <c r="H7" s="242"/>
      <c r="I7" s="242" t="s">
        <v>27</v>
      </c>
      <c r="J7" s="242" t="s">
        <v>28</v>
      </c>
      <c r="K7" s="242" t="s">
        <v>43</v>
      </c>
      <c r="L7" s="244" t="s">
        <v>44</v>
      </c>
      <c r="M7" s="245">
        <v>132</v>
      </c>
      <c r="N7" s="245"/>
      <c r="O7" s="245"/>
      <c r="P7" s="245"/>
      <c r="Q7" s="245"/>
      <c r="R7" s="245">
        <v>132</v>
      </c>
      <c r="S7" s="242" t="s">
        <v>31</v>
      </c>
      <c r="T7" s="245"/>
      <c r="U7" s="242"/>
      <c r="V7" s="242"/>
    </row>
    <row r="8" spans="1:22" s="246" customFormat="1" hidden="1">
      <c r="A8" s="241">
        <v>7</v>
      </c>
      <c r="B8" s="242" t="s">
        <v>32</v>
      </c>
      <c r="C8" s="243">
        <v>44803</v>
      </c>
      <c r="D8" s="242" t="s">
        <v>33</v>
      </c>
      <c r="E8" s="242" t="s">
        <v>24</v>
      </c>
      <c r="F8" s="242" t="s">
        <v>25</v>
      </c>
      <c r="G8" s="242" t="s">
        <v>34</v>
      </c>
      <c r="H8" s="242"/>
      <c r="I8" s="242" t="s">
        <v>27</v>
      </c>
      <c r="J8" s="242" t="s">
        <v>28</v>
      </c>
      <c r="K8" s="242" t="s">
        <v>29</v>
      </c>
      <c r="L8" s="244" t="s">
        <v>30</v>
      </c>
      <c r="M8" s="245">
        <v>101</v>
      </c>
      <c r="N8" s="245"/>
      <c r="O8" s="245"/>
      <c r="P8" s="245"/>
      <c r="Q8" s="245"/>
      <c r="R8" s="245">
        <v>101</v>
      </c>
      <c r="S8" s="242" t="s">
        <v>31</v>
      </c>
      <c r="T8" s="245"/>
      <c r="U8" s="242"/>
      <c r="V8" s="242"/>
    </row>
    <row r="9" spans="1:22" s="246" customFormat="1" hidden="1">
      <c r="A9" s="241">
        <v>8</v>
      </c>
      <c r="B9" s="242" t="s">
        <v>45</v>
      </c>
      <c r="C9" s="243">
        <v>44803</v>
      </c>
      <c r="D9" s="242" t="s">
        <v>46</v>
      </c>
      <c r="E9" s="242" t="s">
        <v>24</v>
      </c>
      <c r="F9" s="242" t="s">
        <v>25</v>
      </c>
      <c r="G9" s="242" t="s">
        <v>47</v>
      </c>
      <c r="H9" s="242"/>
      <c r="I9" s="242" t="s">
        <v>27</v>
      </c>
      <c r="J9" s="242" t="s">
        <v>28</v>
      </c>
      <c r="K9" s="242" t="s">
        <v>48</v>
      </c>
      <c r="L9" s="244" t="s">
        <v>49</v>
      </c>
      <c r="M9" s="245">
        <v>1558</v>
      </c>
      <c r="N9" s="245"/>
      <c r="O9" s="245"/>
      <c r="P9" s="245"/>
      <c r="Q9" s="245"/>
      <c r="R9" s="245">
        <v>1558</v>
      </c>
      <c r="S9" s="242" t="s">
        <v>31</v>
      </c>
      <c r="T9" s="245"/>
      <c r="U9" s="242"/>
      <c r="V9" s="242"/>
    </row>
    <row r="10" spans="1:22" s="246" customFormat="1" hidden="1">
      <c r="A10" s="241">
        <v>9</v>
      </c>
      <c r="B10" s="242" t="s">
        <v>45</v>
      </c>
      <c r="C10" s="243">
        <v>44803</v>
      </c>
      <c r="D10" s="242" t="s">
        <v>46</v>
      </c>
      <c r="E10" s="242" t="s">
        <v>24</v>
      </c>
      <c r="F10" s="242" t="s">
        <v>25</v>
      </c>
      <c r="G10" s="242" t="s">
        <v>47</v>
      </c>
      <c r="H10" s="242"/>
      <c r="I10" s="242" t="s">
        <v>27</v>
      </c>
      <c r="J10" s="242" t="s">
        <v>28</v>
      </c>
      <c r="K10" s="242" t="s">
        <v>50</v>
      </c>
      <c r="L10" s="244" t="s">
        <v>51</v>
      </c>
      <c r="M10" s="245">
        <v>122.5</v>
      </c>
      <c r="N10" s="245"/>
      <c r="O10" s="245"/>
      <c r="P10" s="245"/>
      <c r="Q10" s="245"/>
      <c r="R10" s="245">
        <v>122.5</v>
      </c>
      <c r="S10" s="242" t="s">
        <v>31</v>
      </c>
      <c r="T10" s="245"/>
      <c r="U10" s="242"/>
      <c r="V10" s="242"/>
    </row>
    <row r="11" spans="1:22" s="246" customFormat="1" hidden="1">
      <c r="A11" s="241">
        <v>10</v>
      </c>
      <c r="B11" s="242" t="s">
        <v>45</v>
      </c>
      <c r="C11" s="243">
        <v>44803</v>
      </c>
      <c r="D11" s="242" t="s">
        <v>46</v>
      </c>
      <c r="E11" s="242" t="s">
        <v>24</v>
      </c>
      <c r="F11" s="242" t="s">
        <v>25</v>
      </c>
      <c r="G11" s="242" t="s">
        <v>47</v>
      </c>
      <c r="H11" s="242"/>
      <c r="I11" s="242" t="s">
        <v>27</v>
      </c>
      <c r="J11" s="242" t="s">
        <v>28</v>
      </c>
      <c r="K11" s="242" t="s">
        <v>52</v>
      </c>
      <c r="L11" s="244" t="s">
        <v>53</v>
      </c>
      <c r="M11" s="245">
        <v>4.5</v>
      </c>
      <c r="N11" s="245"/>
      <c r="O11" s="245"/>
      <c r="P11" s="245"/>
      <c r="Q11" s="245"/>
      <c r="R11" s="245">
        <v>4.5</v>
      </c>
      <c r="S11" s="242" t="s">
        <v>31</v>
      </c>
      <c r="T11" s="245"/>
      <c r="U11" s="242"/>
      <c r="V11" s="242"/>
    </row>
    <row r="12" spans="1:22" s="246" customFormat="1" hidden="1">
      <c r="A12" s="241">
        <v>11</v>
      </c>
      <c r="B12" s="242" t="s">
        <v>45</v>
      </c>
      <c r="C12" s="243">
        <v>44803</v>
      </c>
      <c r="D12" s="242" t="s">
        <v>46</v>
      </c>
      <c r="E12" s="242" t="s">
        <v>24</v>
      </c>
      <c r="F12" s="242" t="s">
        <v>25</v>
      </c>
      <c r="G12" s="242" t="s">
        <v>47</v>
      </c>
      <c r="H12" s="242"/>
      <c r="I12" s="242" t="s">
        <v>27</v>
      </c>
      <c r="J12" s="242" t="s">
        <v>28</v>
      </c>
      <c r="K12" s="242" t="s">
        <v>54</v>
      </c>
      <c r="L12" s="244" t="s">
        <v>55</v>
      </c>
      <c r="M12" s="245">
        <v>37.5</v>
      </c>
      <c r="N12" s="245"/>
      <c r="O12" s="245"/>
      <c r="P12" s="245"/>
      <c r="Q12" s="245"/>
      <c r="R12" s="245">
        <v>37.5</v>
      </c>
      <c r="S12" s="242" t="s">
        <v>31</v>
      </c>
      <c r="T12" s="245"/>
      <c r="U12" s="242"/>
      <c r="V12" s="242"/>
    </row>
    <row r="13" spans="1:22" s="246" customFormat="1" hidden="1">
      <c r="A13" s="241">
        <v>12</v>
      </c>
      <c r="B13" s="242" t="s">
        <v>45</v>
      </c>
      <c r="C13" s="243">
        <v>44803</v>
      </c>
      <c r="D13" s="242" t="s">
        <v>46</v>
      </c>
      <c r="E13" s="242" t="s">
        <v>24</v>
      </c>
      <c r="F13" s="242" t="s">
        <v>25</v>
      </c>
      <c r="G13" s="242" t="s">
        <v>47</v>
      </c>
      <c r="H13" s="242"/>
      <c r="I13" s="242" t="s">
        <v>27</v>
      </c>
      <c r="J13" s="242" t="s">
        <v>28</v>
      </c>
      <c r="K13" s="242" t="s">
        <v>56</v>
      </c>
      <c r="L13" s="244" t="s">
        <v>57</v>
      </c>
      <c r="M13" s="245">
        <v>48.5</v>
      </c>
      <c r="N13" s="245"/>
      <c r="O13" s="245"/>
      <c r="P13" s="245"/>
      <c r="Q13" s="245"/>
      <c r="R13" s="245">
        <v>48.5</v>
      </c>
      <c r="S13" s="242" t="s">
        <v>31</v>
      </c>
      <c r="T13" s="245"/>
      <c r="U13" s="242"/>
      <c r="V13" s="242"/>
    </row>
    <row r="14" spans="1:22" s="246" customFormat="1" hidden="1">
      <c r="A14" s="241">
        <v>13</v>
      </c>
      <c r="B14" s="242" t="s">
        <v>45</v>
      </c>
      <c r="C14" s="243">
        <v>44803</v>
      </c>
      <c r="D14" s="242" t="s">
        <v>46</v>
      </c>
      <c r="E14" s="242" t="s">
        <v>24</v>
      </c>
      <c r="F14" s="242" t="s">
        <v>25</v>
      </c>
      <c r="G14" s="242" t="s">
        <v>47</v>
      </c>
      <c r="H14" s="242"/>
      <c r="I14" s="242" t="s">
        <v>27</v>
      </c>
      <c r="J14" s="242" t="s">
        <v>28</v>
      </c>
      <c r="K14" s="242" t="s">
        <v>58</v>
      </c>
      <c r="L14" s="244" t="s">
        <v>59</v>
      </c>
      <c r="M14" s="245">
        <v>84</v>
      </c>
      <c r="N14" s="245"/>
      <c r="O14" s="245"/>
      <c r="P14" s="245"/>
      <c r="Q14" s="245"/>
      <c r="R14" s="245">
        <v>84</v>
      </c>
      <c r="S14" s="242" t="s">
        <v>31</v>
      </c>
      <c r="T14" s="245"/>
      <c r="U14" s="242"/>
      <c r="V14" s="242"/>
    </row>
    <row r="15" spans="1:22" s="246" customFormat="1" hidden="1">
      <c r="A15" s="241">
        <v>14</v>
      </c>
      <c r="B15" s="242" t="s">
        <v>60</v>
      </c>
      <c r="C15" s="243">
        <v>44816</v>
      </c>
      <c r="D15" s="242" t="s">
        <v>61</v>
      </c>
      <c r="E15" s="242" t="s">
        <v>24</v>
      </c>
      <c r="F15" s="242" t="s">
        <v>25</v>
      </c>
      <c r="G15" s="242" t="s">
        <v>62</v>
      </c>
      <c r="H15" s="242"/>
      <c r="I15" s="242" t="s">
        <v>27</v>
      </c>
      <c r="J15" s="242" t="s">
        <v>28</v>
      </c>
      <c r="K15" s="242" t="s">
        <v>63</v>
      </c>
      <c r="L15" s="244" t="s">
        <v>64</v>
      </c>
      <c r="M15" s="245">
        <v>4448.7</v>
      </c>
      <c r="N15" s="245"/>
      <c r="O15" s="245"/>
      <c r="P15" s="245"/>
      <c r="Q15" s="245"/>
      <c r="R15" s="245">
        <v>4448.7</v>
      </c>
      <c r="S15" s="242" t="s">
        <v>65</v>
      </c>
      <c r="T15" s="245"/>
      <c r="U15" s="242"/>
      <c r="V15" s="242"/>
    </row>
    <row r="16" spans="1:22" s="246" customFormat="1" hidden="1">
      <c r="A16" s="241">
        <v>15</v>
      </c>
      <c r="B16" s="242" t="s">
        <v>60</v>
      </c>
      <c r="C16" s="243">
        <v>44816</v>
      </c>
      <c r="D16" s="242" t="s">
        <v>61</v>
      </c>
      <c r="E16" s="242" t="s">
        <v>24</v>
      </c>
      <c r="F16" s="242" t="s">
        <v>25</v>
      </c>
      <c r="G16" s="242" t="s">
        <v>62</v>
      </c>
      <c r="H16" s="242"/>
      <c r="I16" s="242" t="s">
        <v>27</v>
      </c>
      <c r="J16" s="242" t="s">
        <v>28</v>
      </c>
      <c r="K16" s="242" t="s">
        <v>66</v>
      </c>
      <c r="L16" s="244" t="s">
        <v>67</v>
      </c>
      <c r="M16" s="245">
        <v>1973.58</v>
      </c>
      <c r="N16" s="245"/>
      <c r="O16" s="245"/>
      <c r="P16" s="245"/>
      <c r="Q16" s="245"/>
      <c r="R16" s="245">
        <v>1973.58</v>
      </c>
      <c r="S16" s="242" t="s">
        <v>65</v>
      </c>
      <c r="T16" s="245"/>
      <c r="U16" s="242"/>
      <c r="V16" s="242"/>
    </row>
    <row r="17" spans="1:22" s="246" customFormat="1" hidden="1">
      <c r="A17" s="241">
        <v>16</v>
      </c>
      <c r="B17" s="242" t="s">
        <v>68</v>
      </c>
      <c r="C17" s="243">
        <v>44808</v>
      </c>
      <c r="D17" s="242" t="s">
        <v>69</v>
      </c>
      <c r="E17" s="242" t="s">
        <v>24</v>
      </c>
      <c r="F17" s="242" t="s">
        <v>25</v>
      </c>
      <c r="G17" s="242" t="s">
        <v>70</v>
      </c>
      <c r="H17" s="242"/>
      <c r="I17" s="242" t="s">
        <v>27</v>
      </c>
      <c r="J17" s="242" t="s">
        <v>28</v>
      </c>
      <c r="K17" s="242" t="s">
        <v>71</v>
      </c>
      <c r="L17" s="244" t="s">
        <v>72</v>
      </c>
      <c r="M17" s="245">
        <v>180</v>
      </c>
      <c r="N17" s="245"/>
      <c r="O17" s="245"/>
      <c r="P17" s="245"/>
      <c r="Q17" s="245"/>
      <c r="R17" s="245">
        <v>180</v>
      </c>
      <c r="S17" s="242" t="s">
        <v>31</v>
      </c>
      <c r="T17" s="245"/>
      <c r="U17" s="242"/>
      <c r="V17" s="242" t="s">
        <v>73</v>
      </c>
    </row>
    <row r="18" spans="1:22" s="246" customFormat="1" hidden="1">
      <c r="A18" s="241">
        <v>17</v>
      </c>
      <c r="B18" s="242" t="s">
        <v>74</v>
      </c>
      <c r="C18" s="243">
        <v>44816</v>
      </c>
      <c r="D18" s="242" t="s">
        <v>75</v>
      </c>
      <c r="E18" s="242" t="s">
        <v>24</v>
      </c>
      <c r="F18" s="242" t="s">
        <v>25</v>
      </c>
      <c r="G18" s="242" t="s">
        <v>76</v>
      </c>
      <c r="H18" s="242"/>
      <c r="I18" s="242" t="s">
        <v>27</v>
      </c>
      <c r="J18" s="242" t="s">
        <v>28</v>
      </c>
      <c r="K18" s="242" t="s">
        <v>77</v>
      </c>
      <c r="L18" s="244" t="s">
        <v>78</v>
      </c>
      <c r="M18" s="245">
        <v>225</v>
      </c>
      <c r="N18" s="245"/>
      <c r="O18" s="245"/>
      <c r="P18" s="245"/>
      <c r="Q18" s="245"/>
      <c r="R18" s="245">
        <v>225</v>
      </c>
      <c r="S18" s="242" t="s">
        <v>31</v>
      </c>
      <c r="T18" s="245"/>
      <c r="U18" s="242"/>
      <c r="V18" s="242"/>
    </row>
    <row r="19" spans="1:22" s="246" customFormat="1" hidden="1">
      <c r="A19" s="241">
        <v>18</v>
      </c>
      <c r="B19" s="242" t="s">
        <v>74</v>
      </c>
      <c r="C19" s="243">
        <v>44816</v>
      </c>
      <c r="D19" s="242" t="s">
        <v>75</v>
      </c>
      <c r="E19" s="242" t="s">
        <v>24</v>
      </c>
      <c r="F19" s="242" t="s">
        <v>25</v>
      </c>
      <c r="G19" s="242" t="s">
        <v>76</v>
      </c>
      <c r="H19" s="242"/>
      <c r="I19" s="242" t="s">
        <v>27</v>
      </c>
      <c r="J19" s="242" t="s">
        <v>28</v>
      </c>
      <c r="K19" s="242" t="s">
        <v>71</v>
      </c>
      <c r="L19" s="244" t="s">
        <v>72</v>
      </c>
      <c r="M19" s="245">
        <v>36</v>
      </c>
      <c r="N19" s="245"/>
      <c r="O19" s="245"/>
      <c r="P19" s="245"/>
      <c r="Q19" s="245"/>
      <c r="R19" s="245">
        <v>36</v>
      </c>
      <c r="S19" s="242" t="s">
        <v>31</v>
      </c>
      <c r="T19" s="245"/>
      <c r="U19" s="242"/>
      <c r="V19" s="242"/>
    </row>
    <row r="20" spans="1:22" s="246" customFormat="1" hidden="1">
      <c r="A20" s="241">
        <v>19</v>
      </c>
      <c r="B20" s="242" t="s">
        <v>79</v>
      </c>
      <c r="C20" s="243">
        <v>44816</v>
      </c>
      <c r="D20" s="242" t="s">
        <v>80</v>
      </c>
      <c r="E20" s="242" t="s">
        <v>24</v>
      </c>
      <c r="F20" s="242" t="s">
        <v>25</v>
      </c>
      <c r="G20" s="242" t="s">
        <v>81</v>
      </c>
      <c r="H20" s="242"/>
      <c r="I20" s="242" t="s">
        <v>27</v>
      </c>
      <c r="J20" s="242" t="s">
        <v>28</v>
      </c>
      <c r="K20" s="242" t="s">
        <v>77</v>
      </c>
      <c r="L20" s="244" t="s">
        <v>78</v>
      </c>
      <c r="M20" s="245">
        <v>205</v>
      </c>
      <c r="N20" s="245"/>
      <c r="O20" s="245"/>
      <c r="P20" s="245"/>
      <c r="Q20" s="245"/>
      <c r="R20" s="245">
        <v>205</v>
      </c>
      <c r="S20" s="242" t="s">
        <v>31</v>
      </c>
      <c r="T20" s="245"/>
      <c r="U20" s="242"/>
      <c r="V20" s="242"/>
    </row>
    <row r="21" spans="1:22" s="246" customFormat="1" hidden="1">
      <c r="A21" s="241">
        <v>20</v>
      </c>
      <c r="B21" s="242" t="s">
        <v>79</v>
      </c>
      <c r="C21" s="243">
        <v>44816</v>
      </c>
      <c r="D21" s="242" t="s">
        <v>80</v>
      </c>
      <c r="E21" s="242" t="s">
        <v>24</v>
      </c>
      <c r="F21" s="242" t="s">
        <v>25</v>
      </c>
      <c r="G21" s="242" t="s">
        <v>81</v>
      </c>
      <c r="H21" s="242"/>
      <c r="I21" s="242" t="s">
        <v>27</v>
      </c>
      <c r="J21" s="242" t="s">
        <v>28</v>
      </c>
      <c r="K21" s="242" t="s">
        <v>82</v>
      </c>
      <c r="L21" s="244" t="s">
        <v>83</v>
      </c>
      <c r="M21" s="245">
        <v>204</v>
      </c>
      <c r="N21" s="245"/>
      <c r="O21" s="245"/>
      <c r="P21" s="245"/>
      <c r="Q21" s="245"/>
      <c r="R21" s="245">
        <v>204</v>
      </c>
      <c r="S21" s="242" t="s">
        <v>31</v>
      </c>
      <c r="T21" s="245"/>
      <c r="U21" s="242"/>
      <c r="V21" s="242"/>
    </row>
    <row r="22" spans="1:22" s="246" customFormat="1" hidden="1">
      <c r="A22" s="241">
        <v>21</v>
      </c>
      <c r="B22" s="242" t="s">
        <v>84</v>
      </c>
      <c r="C22" s="243">
        <v>44816</v>
      </c>
      <c r="D22" s="242" t="s">
        <v>85</v>
      </c>
      <c r="E22" s="242" t="s">
        <v>24</v>
      </c>
      <c r="F22" s="242" t="s">
        <v>25</v>
      </c>
      <c r="G22" s="242" t="s">
        <v>86</v>
      </c>
      <c r="H22" s="242"/>
      <c r="I22" s="242" t="s">
        <v>27</v>
      </c>
      <c r="J22" s="242" t="s">
        <v>28</v>
      </c>
      <c r="K22" s="242" t="s">
        <v>87</v>
      </c>
      <c r="L22" s="244" t="s">
        <v>88</v>
      </c>
      <c r="M22" s="245">
        <v>5869.6</v>
      </c>
      <c r="N22" s="245"/>
      <c r="O22" s="245"/>
      <c r="P22" s="245"/>
      <c r="Q22" s="245"/>
      <c r="R22" s="245">
        <v>5869.6</v>
      </c>
      <c r="S22" s="242" t="s">
        <v>65</v>
      </c>
      <c r="T22" s="245"/>
      <c r="U22" s="242"/>
      <c r="V22" s="242"/>
    </row>
    <row r="23" spans="1:22" s="246" customFormat="1" hidden="1">
      <c r="A23" s="241">
        <v>22</v>
      </c>
      <c r="B23" s="242" t="s">
        <v>84</v>
      </c>
      <c r="C23" s="243">
        <v>44816</v>
      </c>
      <c r="D23" s="242" t="s">
        <v>85</v>
      </c>
      <c r="E23" s="242" t="s">
        <v>24</v>
      </c>
      <c r="F23" s="242" t="s">
        <v>25</v>
      </c>
      <c r="G23" s="242" t="s">
        <v>86</v>
      </c>
      <c r="H23" s="242"/>
      <c r="I23" s="242" t="s">
        <v>27</v>
      </c>
      <c r="J23" s="242" t="s">
        <v>28</v>
      </c>
      <c r="K23" s="242" t="s">
        <v>63</v>
      </c>
      <c r="L23" s="244" t="s">
        <v>64</v>
      </c>
      <c r="M23" s="245">
        <v>2458.1999999999998</v>
      </c>
      <c r="N23" s="245"/>
      <c r="O23" s="245"/>
      <c r="P23" s="245"/>
      <c r="Q23" s="245"/>
      <c r="R23" s="245">
        <v>2458.1999999999998</v>
      </c>
      <c r="S23" s="242" t="s">
        <v>65</v>
      </c>
      <c r="T23" s="245"/>
      <c r="U23" s="242"/>
      <c r="V23" s="242"/>
    </row>
    <row r="24" spans="1:22" s="246" customFormat="1" hidden="1">
      <c r="A24" s="241">
        <v>23</v>
      </c>
      <c r="B24" s="242" t="s">
        <v>84</v>
      </c>
      <c r="C24" s="243">
        <v>44816</v>
      </c>
      <c r="D24" s="242" t="s">
        <v>85</v>
      </c>
      <c r="E24" s="242" t="s">
        <v>24</v>
      </c>
      <c r="F24" s="242" t="s">
        <v>25</v>
      </c>
      <c r="G24" s="242" t="s">
        <v>86</v>
      </c>
      <c r="H24" s="242"/>
      <c r="I24" s="242" t="s">
        <v>27</v>
      </c>
      <c r="J24" s="242" t="s">
        <v>28</v>
      </c>
      <c r="K24" s="242" t="s">
        <v>66</v>
      </c>
      <c r="L24" s="244" t="s">
        <v>67</v>
      </c>
      <c r="M24" s="245">
        <v>182.42</v>
      </c>
      <c r="N24" s="245"/>
      <c r="O24" s="245"/>
      <c r="P24" s="245"/>
      <c r="Q24" s="245"/>
      <c r="R24" s="245">
        <v>182.42</v>
      </c>
      <c r="S24" s="242" t="s">
        <v>65</v>
      </c>
      <c r="T24" s="245"/>
      <c r="U24" s="242"/>
      <c r="V24" s="242"/>
    </row>
    <row r="25" spans="1:22" s="246" customFormat="1" hidden="1">
      <c r="A25" s="241">
        <v>24</v>
      </c>
      <c r="B25" s="242" t="s">
        <v>84</v>
      </c>
      <c r="C25" s="243">
        <v>44816</v>
      </c>
      <c r="D25" s="242" t="s">
        <v>85</v>
      </c>
      <c r="E25" s="242" t="s">
        <v>24</v>
      </c>
      <c r="F25" s="242" t="s">
        <v>25</v>
      </c>
      <c r="G25" s="242" t="s">
        <v>86</v>
      </c>
      <c r="H25" s="242"/>
      <c r="I25" s="242" t="s">
        <v>89</v>
      </c>
      <c r="J25" s="242" t="s">
        <v>90</v>
      </c>
      <c r="K25" s="242" t="s">
        <v>91</v>
      </c>
      <c r="L25" s="244" t="s">
        <v>92</v>
      </c>
      <c r="M25" s="245">
        <v>43500</v>
      </c>
      <c r="N25" s="245"/>
      <c r="O25" s="245"/>
      <c r="P25" s="245"/>
      <c r="Q25" s="245"/>
      <c r="R25" s="245">
        <v>43500</v>
      </c>
      <c r="S25" s="242" t="s">
        <v>31</v>
      </c>
      <c r="T25" s="245"/>
      <c r="U25" s="242"/>
      <c r="V25" s="242"/>
    </row>
    <row r="26" spans="1:22" s="246" customFormat="1" hidden="1">
      <c r="A26" s="241">
        <v>25</v>
      </c>
      <c r="B26" s="242" t="s">
        <v>84</v>
      </c>
      <c r="C26" s="243">
        <v>44816</v>
      </c>
      <c r="D26" s="242" t="s">
        <v>85</v>
      </c>
      <c r="E26" s="242" t="s">
        <v>24</v>
      </c>
      <c r="F26" s="242" t="s">
        <v>25</v>
      </c>
      <c r="G26" s="242" t="s">
        <v>86</v>
      </c>
      <c r="H26" s="242"/>
      <c r="I26" s="242" t="s">
        <v>89</v>
      </c>
      <c r="J26" s="242" t="s">
        <v>90</v>
      </c>
      <c r="K26" s="242" t="s">
        <v>91</v>
      </c>
      <c r="L26" s="244" t="s">
        <v>93</v>
      </c>
      <c r="M26" s="245">
        <v>13000</v>
      </c>
      <c r="N26" s="245"/>
      <c r="O26" s="245"/>
      <c r="P26" s="245"/>
      <c r="Q26" s="245"/>
      <c r="R26" s="245">
        <v>13000</v>
      </c>
      <c r="S26" s="242" t="s">
        <v>31</v>
      </c>
      <c r="T26" s="245"/>
      <c r="U26" s="242"/>
      <c r="V26" s="242"/>
    </row>
    <row r="27" spans="1:22" s="246" customFormat="1" hidden="1">
      <c r="A27" s="241">
        <v>26</v>
      </c>
      <c r="B27" s="242" t="s">
        <v>84</v>
      </c>
      <c r="C27" s="243">
        <v>44816</v>
      </c>
      <c r="D27" s="242" t="s">
        <v>85</v>
      </c>
      <c r="E27" s="242" t="s">
        <v>24</v>
      </c>
      <c r="F27" s="242" t="s">
        <v>25</v>
      </c>
      <c r="G27" s="242" t="s">
        <v>86</v>
      </c>
      <c r="H27" s="242"/>
      <c r="I27" s="242" t="s">
        <v>89</v>
      </c>
      <c r="J27" s="242" t="s">
        <v>90</v>
      </c>
      <c r="K27" s="242" t="s">
        <v>91</v>
      </c>
      <c r="L27" s="244" t="s">
        <v>94</v>
      </c>
      <c r="M27" s="245">
        <v>72000</v>
      </c>
      <c r="N27" s="245"/>
      <c r="O27" s="245"/>
      <c r="P27" s="245"/>
      <c r="Q27" s="245"/>
      <c r="R27" s="245">
        <v>72000</v>
      </c>
      <c r="S27" s="242" t="s">
        <v>95</v>
      </c>
      <c r="T27" s="245"/>
      <c r="U27" s="242"/>
      <c r="V27" s="242"/>
    </row>
    <row r="28" spans="1:22" s="246" customFormat="1" hidden="1">
      <c r="A28" s="241">
        <v>27</v>
      </c>
      <c r="B28" s="242" t="s">
        <v>84</v>
      </c>
      <c r="C28" s="243">
        <v>44816</v>
      </c>
      <c r="D28" s="242" t="s">
        <v>85</v>
      </c>
      <c r="E28" s="242" t="s">
        <v>24</v>
      </c>
      <c r="F28" s="242" t="s">
        <v>25</v>
      </c>
      <c r="G28" s="242" t="s">
        <v>86</v>
      </c>
      <c r="H28" s="242"/>
      <c r="I28" s="242" t="s">
        <v>89</v>
      </c>
      <c r="J28" s="242" t="s">
        <v>90</v>
      </c>
      <c r="K28" s="242" t="s">
        <v>91</v>
      </c>
      <c r="L28" s="244" t="s">
        <v>96</v>
      </c>
      <c r="M28" s="245">
        <v>3500</v>
      </c>
      <c r="N28" s="245"/>
      <c r="O28" s="245"/>
      <c r="P28" s="245"/>
      <c r="Q28" s="245"/>
      <c r="R28" s="245">
        <v>3500</v>
      </c>
      <c r="S28" s="242" t="s">
        <v>95</v>
      </c>
      <c r="T28" s="245"/>
      <c r="U28" s="242"/>
      <c r="V28" s="242"/>
    </row>
    <row r="29" spans="1:22" s="246" customFormat="1" hidden="1">
      <c r="A29" s="241">
        <v>28</v>
      </c>
      <c r="B29" s="242" t="s">
        <v>84</v>
      </c>
      <c r="C29" s="243">
        <v>44816</v>
      </c>
      <c r="D29" s="242" t="s">
        <v>85</v>
      </c>
      <c r="E29" s="242" t="s">
        <v>24</v>
      </c>
      <c r="F29" s="242" t="s">
        <v>25</v>
      </c>
      <c r="G29" s="242" t="s">
        <v>86</v>
      </c>
      <c r="H29" s="242"/>
      <c r="I29" s="242" t="s">
        <v>89</v>
      </c>
      <c r="J29" s="242" t="s">
        <v>90</v>
      </c>
      <c r="K29" s="242" t="s">
        <v>91</v>
      </c>
      <c r="L29" s="244" t="s">
        <v>97</v>
      </c>
      <c r="M29" s="245">
        <v>120000</v>
      </c>
      <c r="N29" s="245"/>
      <c r="O29" s="245"/>
      <c r="P29" s="245"/>
      <c r="Q29" s="245"/>
      <c r="R29" s="245">
        <v>120000</v>
      </c>
      <c r="S29" s="242" t="s">
        <v>95</v>
      </c>
      <c r="T29" s="245"/>
      <c r="U29" s="242"/>
      <c r="V29" s="242"/>
    </row>
    <row r="30" spans="1:22" s="246" customFormat="1" hidden="1">
      <c r="A30" s="241">
        <v>29</v>
      </c>
      <c r="B30" s="242" t="s">
        <v>84</v>
      </c>
      <c r="C30" s="243">
        <v>44816</v>
      </c>
      <c r="D30" s="242" t="s">
        <v>85</v>
      </c>
      <c r="E30" s="242" t="s">
        <v>24</v>
      </c>
      <c r="F30" s="242" t="s">
        <v>25</v>
      </c>
      <c r="G30" s="242" t="s">
        <v>86</v>
      </c>
      <c r="H30" s="242"/>
      <c r="I30" s="242" t="s">
        <v>89</v>
      </c>
      <c r="J30" s="242" t="s">
        <v>90</v>
      </c>
      <c r="K30" s="242" t="s">
        <v>91</v>
      </c>
      <c r="L30" s="244" t="s">
        <v>98</v>
      </c>
      <c r="M30" s="245">
        <v>80000</v>
      </c>
      <c r="N30" s="245"/>
      <c r="O30" s="245"/>
      <c r="P30" s="245"/>
      <c r="Q30" s="245"/>
      <c r="R30" s="245">
        <v>80000</v>
      </c>
      <c r="S30" s="242" t="s">
        <v>95</v>
      </c>
      <c r="T30" s="245"/>
      <c r="U30" s="242"/>
      <c r="V30" s="242"/>
    </row>
    <row r="31" spans="1:22" s="246" customFormat="1" hidden="1">
      <c r="A31" s="241">
        <v>30</v>
      </c>
      <c r="B31" s="242" t="s">
        <v>84</v>
      </c>
      <c r="C31" s="243">
        <v>44816</v>
      </c>
      <c r="D31" s="242" t="s">
        <v>85</v>
      </c>
      <c r="E31" s="242" t="s">
        <v>24</v>
      </c>
      <c r="F31" s="242" t="s">
        <v>25</v>
      </c>
      <c r="G31" s="242" t="s">
        <v>86</v>
      </c>
      <c r="H31" s="242"/>
      <c r="I31" s="242" t="s">
        <v>89</v>
      </c>
      <c r="J31" s="242" t="s">
        <v>90</v>
      </c>
      <c r="K31" s="242" t="s">
        <v>91</v>
      </c>
      <c r="L31" s="244" t="s">
        <v>99</v>
      </c>
      <c r="M31" s="245">
        <v>53100</v>
      </c>
      <c r="N31" s="245"/>
      <c r="O31" s="245"/>
      <c r="P31" s="245"/>
      <c r="Q31" s="245"/>
      <c r="R31" s="245">
        <v>53100</v>
      </c>
      <c r="S31" s="242" t="s">
        <v>95</v>
      </c>
      <c r="T31" s="245"/>
      <c r="U31" s="242"/>
      <c r="V31" s="242"/>
    </row>
    <row r="32" spans="1:22" s="246" customFormat="1" hidden="1">
      <c r="A32" s="241">
        <v>31</v>
      </c>
      <c r="B32" s="242" t="s">
        <v>84</v>
      </c>
      <c r="C32" s="243">
        <v>44816</v>
      </c>
      <c r="D32" s="242" t="s">
        <v>85</v>
      </c>
      <c r="E32" s="242" t="s">
        <v>24</v>
      </c>
      <c r="F32" s="242" t="s">
        <v>25</v>
      </c>
      <c r="G32" s="242" t="s">
        <v>86</v>
      </c>
      <c r="H32" s="242"/>
      <c r="I32" s="242" t="s">
        <v>89</v>
      </c>
      <c r="J32" s="242" t="s">
        <v>90</v>
      </c>
      <c r="K32" s="242" t="s">
        <v>91</v>
      </c>
      <c r="L32" s="244" t="s">
        <v>100</v>
      </c>
      <c r="M32" s="245">
        <v>3200</v>
      </c>
      <c r="N32" s="245"/>
      <c r="O32" s="245"/>
      <c r="P32" s="245"/>
      <c r="Q32" s="245"/>
      <c r="R32" s="245">
        <v>3200</v>
      </c>
      <c r="S32" s="242" t="s">
        <v>95</v>
      </c>
      <c r="T32" s="245"/>
      <c r="U32" s="242"/>
      <c r="V32" s="242"/>
    </row>
    <row r="33" spans="1:22" s="246" customFormat="1" hidden="1">
      <c r="A33" s="241">
        <v>32</v>
      </c>
      <c r="B33" s="242" t="s">
        <v>84</v>
      </c>
      <c r="C33" s="243">
        <v>44816</v>
      </c>
      <c r="D33" s="242" t="s">
        <v>85</v>
      </c>
      <c r="E33" s="242" t="s">
        <v>24</v>
      </c>
      <c r="F33" s="242" t="s">
        <v>25</v>
      </c>
      <c r="G33" s="242" t="s">
        <v>86</v>
      </c>
      <c r="H33" s="242"/>
      <c r="I33" s="242" t="s">
        <v>89</v>
      </c>
      <c r="J33" s="242" t="s">
        <v>90</v>
      </c>
      <c r="K33" s="242" t="s">
        <v>91</v>
      </c>
      <c r="L33" s="244" t="s">
        <v>101</v>
      </c>
      <c r="M33" s="245">
        <v>106000</v>
      </c>
      <c r="N33" s="245"/>
      <c r="O33" s="245"/>
      <c r="P33" s="245"/>
      <c r="Q33" s="245"/>
      <c r="R33" s="245">
        <v>106000</v>
      </c>
      <c r="S33" s="242" t="s">
        <v>31</v>
      </c>
      <c r="T33" s="245"/>
      <c r="U33" s="242"/>
      <c r="V33" s="242"/>
    </row>
    <row r="34" spans="1:22" s="246" customFormat="1" hidden="1">
      <c r="A34" s="241">
        <v>33</v>
      </c>
      <c r="B34" s="242" t="s">
        <v>84</v>
      </c>
      <c r="C34" s="243">
        <v>44816</v>
      </c>
      <c r="D34" s="242" t="s">
        <v>85</v>
      </c>
      <c r="E34" s="242" t="s">
        <v>24</v>
      </c>
      <c r="F34" s="242" t="s">
        <v>25</v>
      </c>
      <c r="G34" s="242" t="s">
        <v>86</v>
      </c>
      <c r="H34" s="242"/>
      <c r="I34" s="242" t="s">
        <v>89</v>
      </c>
      <c r="J34" s="242" t="s">
        <v>90</v>
      </c>
      <c r="K34" s="242" t="s">
        <v>91</v>
      </c>
      <c r="L34" s="244" t="s">
        <v>102</v>
      </c>
      <c r="M34" s="245">
        <v>75</v>
      </c>
      <c r="N34" s="245"/>
      <c r="O34" s="245"/>
      <c r="P34" s="245"/>
      <c r="Q34" s="245"/>
      <c r="R34" s="245">
        <v>75</v>
      </c>
      <c r="S34" s="242" t="s">
        <v>103</v>
      </c>
      <c r="T34" s="245"/>
      <c r="U34" s="242"/>
      <c r="V34" s="242"/>
    </row>
    <row r="35" spans="1:22" s="246" customFormat="1" hidden="1">
      <c r="A35" s="241">
        <v>34</v>
      </c>
      <c r="B35" s="242" t="s">
        <v>84</v>
      </c>
      <c r="C35" s="243">
        <v>44816</v>
      </c>
      <c r="D35" s="242" t="s">
        <v>85</v>
      </c>
      <c r="E35" s="242" t="s">
        <v>24</v>
      </c>
      <c r="F35" s="242" t="s">
        <v>25</v>
      </c>
      <c r="G35" s="242" t="s">
        <v>86</v>
      </c>
      <c r="H35" s="242"/>
      <c r="I35" s="242" t="s">
        <v>89</v>
      </c>
      <c r="J35" s="242" t="s">
        <v>90</v>
      </c>
      <c r="K35" s="242" t="s">
        <v>91</v>
      </c>
      <c r="L35" s="244" t="s">
        <v>104</v>
      </c>
      <c r="M35" s="245">
        <v>2075</v>
      </c>
      <c r="N35" s="245"/>
      <c r="O35" s="245"/>
      <c r="P35" s="245"/>
      <c r="Q35" s="245"/>
      <c r="R35" s="245">
        <v>2075</v>
      </c>
      <c r="S35" s="242" t="s">
        <v>105</v>
      </c>
      <c r="T35" s="245"/>
      <c r="U35" s="242"/>
      <c r="V35" s="242"/>
    </row>
    <row r="36" spans="1:22" s="246" customFormat="1" hidden="1">
      <c r="A36" s="241">
        <v>35</v>
      </c>
      <c r="B36" s="242" t="s">
        <v>84</v>
      </c>
      <c r="C36" s="243">
        <v>44816</v>
      </c>
      <c r="D36" s="242" t="s">
        <v>85</v>
      </c>
      <c r="E36" s="242" t="s">
        <v>24</v>
      </c>
      <c r="F36" s="242" t="s">
        <v>25</v>
      </c>
      <c r="G36" s="242" t="s">
        <v>86</v>
      </c>
      <c r="H36" s="242"/>
      <c r="I36" s="242" t="s">
        <v>89</v>
      </c>
      <c r="J36" s="242" t="s">
        <v>90</v>
      </c>
      <c r="K36" s="242" t="s">
        <v>91</v>
      </c>
      <c r="L36" s="244" t="s">
        <v>106</v>
      </c>
      <c r="M36" s="245">
        <v>550</v>
      </c>
      <c r="N36" s="245"/>
      <c r="O36" s="245"/>
      <c r="P36" s="245"/>
      <c r="Q36" s="245"/>
      <c r="R36" s="245">
        <v>550</v>
      </c>
      <c r="S36" s="242" t="s">
        <v>105</v>
      </c>
      <c r="T36" s="245"/>
      <c r="U36" s="242"/>
      <c r="V36" s="242"/>
    </row>
    <row r="37" spans="1:22" s="246" customFormat="1" hidden="1">
      <c r="A37" s="241">
        <v>36</v>
      </c>
      <c r="B37" s="242" t="s">
        <v>84</v>
      </c>
      <c r="C37" s="243">
        <v>44816</v>
      </c>
      <c r="D37" s="242" t="s">
        <v>85</v>
      </c>
      <c r="E37" s="242" t="s">
        <v>24</v>
      </c>
      <c r="F37" s="242" t="s">
        <v>25</v>
      </c>
      <c r="G37" s="242" t="s">
        <v>86</v>
      </c>
      <c r="H37" s="242"/>
      <c r="I37" s="242" t="s">
        <v>89</v>
      </c>
      <c r="J37" s="242" t="s">
        <v>90</v>
      </c>
      <c r="K37" s="242" t="s">
        <v>91</v>
      </c>
      <c r="L37" s="244" t="s">
        <v>107</v>
      </c>
      <c r="M37" s="245">
        <v>750</v>
      </c>
      <c r="N37" s="245"/>
      <c r="O37" s="245"/>
      <c r="P37" s="245"/>
      <c r="Q37" s="245"/>
      <c r="R37" s="245">
        <v>750</v>
      </c>
      <c r="S37" s="242" t="s">
        <v>65</v>
      </c>
      <c r="T37" s="245"/>
      <c r="U37" s="242"/>
      <c r="V37" s="242"/>
    </row>
    <row r="38" spans="1:22" s="246" customFormat="1" hidden="1">
      <c r="A38" s="241">
        <v>37</v>
      </c>
      <c r="B38" s="242" t="s">
        <v>108</v>
      </c>
      <c r="C38" s="243">
        <v>44816</v>
      </c>
      <c r="D38" s="242" t="s">
        <v>109</v>
      </c>
      <c r="E38" s="242" t="s">
        <v>24</v>
      </c>
      <c r="F38" s="242" t="s">
        <v>25</v>
      </c>
      <c r="G38" s="242" t="s">
        <v>110</v>
      </c>
      <c r="H38" s="242"/>
      <c r="I38" s="242" t="s">
        <v>27</v>
      </c>
      <c r="J38" s="242" t="s">
        <v>28</v>
      </c>
      <c r="K38" s="242" t="s">
        <v>111</v>
      </c>
      <c r="L38" s="244" t="s">
        <v>112</v>
      </c>
      <c r="M38" s="245">
        <v>575</v>
      </c>
      <c r="N38" s="245"/>
      <c r="O38" s="245"/>
      <c r="P38" s="245"/>
      <c r="Q38" s="245"/>
      <c r="R38" s="245">
        <v>575</v>
      </c>
      <c r="S38" s="242" t="s">
        <v>31</v>
      </c>
      <c r="T38" s="245"/>
      <c r="U38" s="242"/>
      <c r="V38" s="242"/>
    </row>
    <row r="39" spans="1:22" s="246" customFormat="1" hidden="1">
      <c r="A39" s="241">
        <v>38</v>
      </c>
      <c r="B39" s="242" t="s">
        <v>108</v>
      </c>
      <c r="C39" s="243">
        <v>44816</v>
      </c>
      <c r="D39" s="242" t="s">
        <v>109</v>
      </c>
      <c r="E39" s="242" t="s">
        <v>24</v>
      </c>
      <c r="F39" s="242" t="s">
        <v>25</v>
      </c>
      <c r="G39" s="242" t="s">
        <v>110</v>
      </c>
      <c r="H39" s="242"/>
      <c r="I39" s="242" t="s">
        <v>27</v>
      </c>
      <c r="J39" s="242" t="s">
        <v>28</v>
      </c>
      <c r="K39" s="242" t="s">
        <v>82</v>
      </c>
      <c r="L39" s="244" t="s">
        <v>83</v>
      </c>
      <c r="M39" s="245">
        <v>416.5</v>
      </c>
      <c r="N39" s="245"/>
      <c r="O39" s="245"/>
      <c r="P39" s="245"/>
      <c r="Q39" s="245"/>
      <c r="R39" s="245">
        <v>416.5</v>
      </c>
      <c r="S39" s="242" t="s">
        <v>31</v>
      </c>
      <c r="T39" s="245"/>
      <c r="U39" s="242"/>
      <c r="V39" s="242"/>
    </row>
    <row r="40" spans="1:22" s="252" customFormat="1" hidden="1">
      <c r="A40" s="247">
        <v>39</v>
      </c>
      <c r="B40" s="248" t="s">
        <v>311</v>
      </c>
      <c r="C40" s="249">
        <v>44824</v>
      </c>
      <c r="D40" s="248" t="s">
        <v>312</v>
      </c>
      <c r="E40" s="248" t="s">
        <v>24</v>
      </c>
      <c r="F40" s="248" t="s">
        <v>25</v>
      </c>
      <c r="G40" s="248" t="s">
        <v>313</v>
      </c>
      <c r="H40" s="248"/>
      <c r="I40" s="248" t="s">
        <v>27</v>
      </c>
      <c r="J40" s="248" t="s">
        <v>28</v>
      </c>
      <c r="K40" s="248" t="s">
        <v>175</v>
      </c>
      <c r="L40" s="250" t="s">
        <v>314</v>
      </c>
      <c r="M40" s="251">
        <v>155</v>
      </c>
      <c r="N40" s="251"/>
      <c r="O40" s="251"/>
      <c r="P40" s="251"/>
      <c r="Q40" s="251"/>
      <c r="R40" s="251">
        <v>155</v>
      </c>
      <c r="S40" s="248" t="s">
        <v>31</v>
      </c>
      <c r="T40" s="251"/>
      <c r="U40" s="248"/>
      <c r="V40" s="248"/>
    </row>
    <row r="41" spans="1:22" s="252" customFormat="1" hidden="1">
      <c r="A41" s="247">
        <v>40</v>
      </c>
      <c r="B41" s="248" t="s">
        <v>311</v>
      </c>
      <c r="C41" s="249">
        <v>44824</v>
      </c>
      <c r="D41" s="248" t="s">
        <v>312</v>
      </c>
      <c r="E41" s="248" t="s">
        <v>24</v>
      </c>
      <c r="F41" s="248" t="s">
        <v>25</v>
      </c>
      <c r="G41" s="248" t="s">
        <v>313</v>
      </c>
      <c r="H41" s="248"/>
      <c r="I41" s="248" t="s">
        <v>27</v>
      </c>
      <c r="J41" s="248" t="s">
        <v>28</v>
      </c>
      <c r="K41" s="248" t="s">
        <v>144</v>
      </c>
      <c r="L41" s="250" t="s">
        <v>315</v>
      </c>
      <c r="M41" s="251">
        <v>139</v>
      </c>
      <c r="N41" s="251"/>
      <c r="O41" s="251"/>
      <c r="P41" s="251"/>
      <c r="Q41" s="251"/>
      <c r="R41" s="251">
        <v>139</v>
      </c>
      <c r="S41" s="248" t="s">
        <v>31</v>
      </c>
      <c r="T41" s="251"/>
      <c r="U41" s="248"/>
      <c r="V41" s="248"/>
    </row>
    <row r="42" spans="1:22" s="252" customFormat="1" hidden="1">
      <c r="A42" s="247">
        <v>41</v>
      </c>
      <c r="B42" s="248" t="s">
        <v>316</v>
      </c>
      <c r="C42" s="249">
        <v>44856</v>
      </c>
      <c r="D42" s="248" t="s">
        <v>317</v>
      </c>
      <c r="E42" s="248" t="s">
        <v>24</v>
      </c>
      <c r="F42" s="248" t="s">
        <v>25</v>
      </c>
      <c r="G42" s="248" t="s">
        <v>318</v>
      </c>
      <c r="H42" s="248" t="s">
        <v>319</v>
      </c>
      <c r="I42" s="248" t="s">
        <v>27</v>
      </c>
      <c r="J42" s="248" t="s">
        <v>28</v>
      </c>
      <c r="K42" s="248" t="s">
        <v>186</v>
      </c>
      <c r="L42" s="250" t="s">
        <v>187</v>
      </c>
      <c r="M42" s="251">
        <v>87.78</v>
      </c>
      <c r="N42" s="251"/>
      <c r="O42" s="251"/>
      <c r="P42" s="251"/>
      <c r="Q42" s="251"/>
      <c r="R42" s="251">
        <v>87.78</v>
      </c>
      <c r="S42" s="248" t="s">
        <v>65</v>
      </c>
      <c r="T42" s="251"/>
      <c r="U42" s="248"/>
      <c r="V42" s="248"/>
    </row>
    <row r="43" spans="1:22" s="252" customFormat="1" hidden="1">
      <c r="A43" s="247">
        <v>42</v>
      </c>
      <c r="B43" s="248" t="s">
        <v>316</v>
      </c>
      <c r="C43" s="249">
        <v>44856</v>
      </c>
      <c r="D43" s="248" t="s">
        <v>317</v>
      </c>
      <c r="E43" s="248" t="s">
        <v>24</v>
      </c>
      <c r="F43" s="248" t="s">
        <v>25</v>
      </c>
      <c r="G43" s="248" t="s">
        <v>318</v>
      </c>
      <c r="H43" s="248" t="s">
        <v>319</v>
      </c>
      <c r="I43" s="248" t="s">
        <v>27</v>
      </c>
      <c r="J43" s="248" t="s">
        <v>28</v>
      </c>
      <c r="K43" s="248" t="s">
        <v>186</v>
      </c>
      <c r="L43" s="250" t="s">
        <v>187</v>
      </c>
      <c r="M43" s="251">
        <v>328</v>
      </c>
      <c r="N43" s="251"/>
      <c r="O43" s="251"/>
      <c r="P43" s="251"/>
      <c r="Q43" s="251"/>
      <c r="R43" s="251">
        <v>328</v>
      </c>
      <c r="S43" s="248" t="s">
        <v>65</v>
      </c>
      <c r="T43" s="251"/>
      <c r="U43" s="248"/>
      <c r="V43" s="248"/>
    </row>
    <row r="44" spans="1:22" s="252" customFormat="1" hidden="1">
      <c r="A44" s="247">
        <v>43</v>
      </c>
      <c r="B44" s="248" t="s">
        <v>316</v>
      </c>
      <c r="C44" s="249">
        <v>44856</v>
      </c>
      <c r="D44" s="248" t="s">
        <v>317</v>
      </c>
      <c r="E44" s="248" t="s">
        <v>24</v>
      </c>
      <c r="F44" s="248" t="s">
        <v>25</v>
      </c>
      <c r="G44" s="248" t="s">
        <v>318</v>
      </c>
      <c r="H44" s="248" t="s">
        <v>319</v>
      </c>
      <c r="I44" s="248" t="s">
        <v>27</v>
      </c>
      <c r="J44" s="248" t="s">
        <v>28</v>
      </c>
      <c r="K44" s="248" t="s">
        <v>186</v>
      </c>
      <c r="L44" s="250" t="s">
        <v>187</v>
      </c>
      <c r="M44" s="251">
        <v>223</v>
      </c>
      <c r="N44" s="251"/>
      <c r="O44" s="251"/>
      <c r="P44" s="251"/>
      <c r="Q44" s="251"/>
      <c r="R44" s="251">
        <v>223</v>
      </c>
      <c r="S44" s="248" t="s">
        <v>65</v>
      </c>
      <c r="T44" s="251"/>
      <c r="U44" s="248"/>
      <c r="V44" s="248"/>
    </row>
    <row r="45" spans="1:22" s="252" customFormat="1" hidden="1">
      <c r="A45" s="247">
        <v>44</v>
      </c>
      <c r="B45" s="248" t="s">
        <v>316</v>
      </c>
      <c r="C45" s="249">
        <v>44856</v>
      </c>
      <c r="D45" s="248" t="s">
        <v>317</v>
      </c>
      <c r="E45" s="248" t="s">
        <v>24</v>
      </c>
      <c r="F45" s="248" t="s">
        <v>25</v>
      </c>
      <c r="G45" s="248" t="s">
        <v>318</v>
      </c>
      <c r="H45" s="248" t="s">
        <v>319</v>
      </c>
      <c r="I45" s="248" t="s">
        <v>27</v>
      </c>
      <c r="J45" s="248" t="s">
        <v>28</v>
      </c>
      <c r="K45" s="248" t="s">
        <v>186</v>
      </c>
      <c r="L45" s="250" t="s">
        <v>187</v>
      </c>
      <c r="M45" s="251">
        <v>132</v>
      </c>
      <c r="N45" s="251"/>
      <c r="O45" s="251"/>
      <c r="P45" s="251"/>
      <c r="Q45" s="251"/>
      <c r="R45" s="251">
        <v>132</v>
      </c>
      <c r="S45" s="248" t="s">
        <v>65</v>
      </c>
      <c r="T45" s="251"/>
      <c r="U45" s="248"/>
      <c r="V45" s="248"/>
    </row>
    <row r="46" spans="1:22" s="252" customFormat="1" hidden="1">
      <c r="A46" s="247">
        <v>45</v>
      </c>
      <c r="B46" s="248" t="s">
        <v>316</v>
      </c>
      <c r="C46" s="249">
        <v>44856</v>
      </c>
      <c r="D46" s="248" t="s">
        <v>317</v>
      </c>
      <c r="E46" s="248" t="s">
        <v>24</v>
      </c>
      <c r="F46" s="248" t="s">
        <v>25</v>
      </c>
      <c r="G46" s="248" t="s">
        <v>318</v>
      </c>
      <c r="H46" s="248" t="s">
        <v>319</v>
      </c>
      <c r="I46" s="248" t="s">
        <v>27</v>
      </c>
      <c r="J46" s="248" t="s">
        <v>28</v>
      </c>
      <c r="K46" s="248" t="s">
        <v>188</v>
      </c>
      <c r="L46" s="250" t="s">
        <v>320</v>
      </c>
      <c r="M46" s="251">
        <v>240</v>
      </c>
      <c r="N46" s="251"/>
      <c r="O46" s="251"/>
      <c r="P46" s="251"/>
      <c r="Q46" s="251"/>
      <c r="R46" s="251">
        <v>240</v>
      </c>
      <c r="S46" s="248" t="s">
        <v>65</v>
      </c>
      <c r="T46" s="251"/>
      <c r="U46" s="248"/>
      <c r="V46" s="248"/>
    </row>
    <row r="47" spans="1:22" s="252" customFormat="1" hidden="1">
      <c r="A47" s="247">
        <v>46</v>
      </c>
      <c r="B47" s="248" t="s">
        <v>316</v>
      </c>
      <c r="C47" s="249">
        <v>44856</v>
      </c>
      <c r="D47" s="248" t="s">
        <v>317</v>
      </c>
      <c r="E47" s="248" t="s">
        <v>24</v>
      </c>
      <c r="F47" s="248" t="s">
        <v>25</v>
      </c>
      <c r="G47" s="248" t="s">
        <v>318</v>
      </c>
      <c r="H47" s="248" t="s">
        <v>319</v>
      </c>
      <c r="I47" s="248" t="s">
        <v>27</v>
      </c>
      <c r="J47" s="248" t="s">
        <v>28</v>
      </c>
      <c r="K47" s="248" t="s">
        <v>192</v>
      </c>
      <c r="L47" s="250" t="s">
        <v>321</v>
      </c>
      <c r="M47" s="251">
        <v>100.8</v>
      </c>
      <c r="N47" s="251"/>
      <c r="O47" s="251"/>
      <c r="P47" s="251"/>
      <c r="Q47" s="251"/>
      <c r="R47" s="251">
        <v>100.8</v>
      </c>
      <c r="S47" s="248" t="s">
        <v>65</v>
      </c>
      <c r="T47" s="251"/>
      <c r="U47" s="248"/>
      <c r="V47" s="248"/>
    </row>
    <row r="48" spans="1:22" s="252" customFormat="1" hidden="1">
      <c r="A48" s="247">
        <v>47</v>
      </c>
      <c r="B48" s="248" t="s">
        <v>322</v>
      </c>
      <c r="C48" s="249">
        <v>44865</v>
      </c>
      <c r="D48" s="248" t="s">
        <v>323</v>
      </c>
      <c r="E48" s="248" t="s">
        <v>24</v>
      </c>
      <c r="F48" s="248" t="s">
        <v>25</v>
      </c>
      <c r="G48" s="248" t="s">
        <v>324</v>
      </c>
      <c r="H48" s="248" t="s">
        <v>319</v>
      </c>
      <c r="I48" s="248" t="s">
        <v>27</v>
      </c>
      <c r="J48" s="248" t="s">
        <v>28</v>
      </c>
      <c r="K48" s="248" t="s">
        <v>290</v>
      </c>
      <c r="L48" s="250" t="s">
        <v>325</v>
      </c>
      <c r="M48" s="251">
        <v>253</v>
      </c>
      <c r="N48" s="251"/>
      <c r="O48" s="251"/>
      <c r="P48" s="251"/>
      <c r="Q48" s="251"/>
      <c r="R48" s="251">
        <v>253</v>
      </c>
      <c r="S48" s="248" t="s">
        <v>65</v>
      </c>
      <c r="T48" s="251"/>
      <c r="U48" s="248"/>
      <c r="V48" s="248"/>
    </row>
    <row r="49" spans="1:22" s="252" customFormat="1" hidden="1">
      <c r="A49" s="247">
        <v>48</v>
      </c>
      <c r="B49" s="248" t="s">
        <v>322</v>
      </c>
      <c r="C49" s="249">
        <v>44865</v>
      </c>
      <c r="D49" s="248" t="s">
        <v>323</v>
      </c>
      <c r="E49" s="248" t="s">
        <v>24</v>
      </c>
      <c r="F49" s="248" t="s">
        <v>25</v>
      </c>
      <c r="G49" s="248" t="s">
        <v>324</v>
      </c>
      <c r="H49" s="248" t="s">
        <v>319</v>
      </c>
      <c r="I49" s="248" t="s">
        <v>27</v>
      </c>
      <c r="J49" s="248" t="s">
        <v>28</v>
      </c>
      <c r="K49" s="248" t="s">
        <v>192</v>
      </c>
      <c r="L49" s="250" t="s">
        <v>321</v>
      </c>
      <c r="M49" s="251">
        <v>307.2</v>
      </c>
      <c r="N49" s="251"/>
      <c r="O49" s="251"/>
      <c r="P49" s="251"/>
      <c r="Q49" s="251"/>
      <c r="R49" s="251">
        <v>307.2</v>
      </c>
      <c r="S49" s="248" t="s">
        <v>65</v>
      </c>
      <c r="T49" s="251"/>
      <c r="U49" s="248"/>
      <c r="V49" s="248"/>
    </row>
    <row r="50" spans="1:22" s="252" customFormat="1" hidden="1">
      <c r="A50" s="247">
        <v>49</v>
      </c>
      <c r="B50" s="248" t="s">
        <v>322</v>
      </c>
      <c r="C50" s="249">
        <v>44865</v>
      </c>
      <c r="D50" s="248" t="s">
        <v>323</v>
      </c>
      <c r="E50" s="248" t="s">
        <v>24</v>
      </c>
      <c r="F50" s="248" t="s">
        <v>25</v>
      </c>
      <c r="G50" s="248" t="s">
        <v>324</v>
      </c>
      <c r="H50" s="248" t="s">
        <v>319</v>
      </c>
      <c r="I50" s="248" t="s">
        <v>27</v>
      </c>
      <c r="J50" s="248" t="s">
        <v>28</v>
      </c>
      <c r="K50" s="248" t="s">
        <v>194</v>
      </c>
      <c r="L50" s="250" t="s">
        <v>326</v>
      </c>
      <c r="M50" s="251">
        <v>403.7</v>
      </c>
      <c r="N50" s="251"/>
      <c r="O50" s="251"/>
      <c r="P50" s="251"/>
      <c r="Q50" s="251"/>
      <c r="R50" s="251">
        <v>403.7</v>
      </c>
      <c r="S50" s="248" t="s">
        <v>65</v>
      </c>
      <c r="T50" s="251"/>
      <c r="U50" s="248"/>
      <c r="V50" s="248"/>
    </row>
    <row r="51" spans="1:22" s="252" customFormat="1" hidden="1">
      <c r="A51" s="247">
        <v>50</v>
      </c>
      <c r="B51" s="248" t="s">
        <v>327</v>
      </c>
      <c r="C51" s="249">
        <v>44872</v>
      </c>
      <c r="D51" s="248" t="s">
        <v>328</v>
      </c>
      <c r="E51" s="248" t="s">
        <v>24</v>
      </c>
      <c r="F51" s="248" t="s">
        <v>25</v>
      </c>
      <c r="G51" s="248" t="s">
        <v>329</v>
      </c>
      <c r="H51" s="248"/>
      <c r="I51" s="248" t="s">
        <v>27</v>
      </c>
      <c r="J51" s="248" t="s">
        <v>28</v>
      </c>
      <c r="K51" s="248" t="s">
        <v>190</v>
      </c>
      <c r="L51" s="250" t="s">
        <v>330</v>
      </c>
      <c r="M51" s="251">
        <v>229.9</v>
      </c>
      <c r="N51" s="251"/>
      <c r="O51" s="251"/>
      <c r="P51" s="251"/>
      <c r="Q51" s="251"/>
      <c r="R51" s="251">
        <v>229.9</v>
      </c>
      <c r="S51" s="248" t="s">
        <v>65</v>
      </c>
      <c r="T51" s="251"/>
      <c r="U51" s="248"/>
      <c r="V51" s="248"/>
    </row>
    <row r="52" spans="1:22" s="252" customFormat="1" hidden="1">
      <c r="A52" s="247">
        <v>51</v>
      </c>
      <c r="B52" s="248" t="s">
        <v>327</v>
      </c>
      <c r="C52" s="249">
        <v>44872</v>
      </c>
      <c r="D52" s="248" t="s">
        <v>328</v>
      </c>
      <c r="E52" s="248" t="s">
        <v>24</v>
      </c>
      <c r="F52" s="248" t="s">
        <v>25</v>
      </c>
      <c r="G52" s="248" t="s">
        <v>329</v>
      </c>
      <c r="H52" s="248"/>
      <c r="I52" s="248" t="s">
        <v>27</v>
      </c>
      <c r="J52" s="248" t="s">
        <v>28</v>
      </c>
      <c r="K52" s="248" t="s">
        <v>190</v>
      </c>
      <c r="L52" s="250" t="s">
        <v>330</v>
      </c>
      <c r="M52" s="251">
        <v>634.1</v>
      </c>
      <c r="N52" s="251"/>
      <c r="O52" s="251"/>
      <c r="P52" s="251"/>
      <c r="Q52" s="251"/>
      <c r="R52" s="251">
        <v>634.1</v>
      </c>
      <c r="S52" s="248" t="s">
        <v>65</v>
      </c>
      <c r="T52" s="251"/>
      <c r="U52" s="248"/>
      <c r="V52" s="248"/>
    </row>
    <row r="53" spans="1:22" s="252" customFormat="1" hidden="1">
      <c r="A53" s="247">
        <v>52</v>
      </c>
      <c r="B53" s="248" t="s">
        <v>331</v>
      </c>
      <c r="C53" s="249">
        <v>44872</v>
      </c>
      <c r="D53" s="248" t="s">
        <v>332</v>
      </c>
      <c r="E53" s="248" t="s">
        <v>24</v>
      </c>
      <c r="F53" s="248" t="s">
        <v>25</v>
      </c>
      <c r="G53" s="248" t="s">
        <v>333</v>
      </c>
      <c r="H53" s="248"/>
      <c r="I53" s="248" t="s">
        <v>27</v>
      </c>
      <c r="J53" s="248" t="s">
        <v>28</v>
      </c>
      <c r="K53" s="248" t="s">
        <v>190</v>
      </c>
      <c r="L53" s="250" t="s">
        <v>330</v>
      </c>
      <c r="M53" s="251">
        <v>676.8</v>
      </c>
      <c r="N53" s="251"/>
      <c r="O53" s="251"/>
      <c r="P53" s="251"/>
      <c r="Q53" s="251"/>
      <c r="R53" s="251">
        <v>676.8</v>
      </c>
      <c r="S53" s="248" t="s">
        <v>65</v>
      </c>
      <c r="T53" s="251"/>
      <c r="U53" s="248"/>
      <c r="V53" s="248"/>
    </row>
    <row r="54" spans="1:22" s="252" customFormat="1" hidden="1">
      <c r="A54" s="247">
        <v>53</v>
      </c>
      <c r="B54" s="248" t="s">
        <v>331</v>
      </c>
      <c r="C54" s="249">
        <v>44872</v>
      </c>
      <c r="D54" s="248" t="s">
        <v>332</v>
      </c>
      <c r="E54" s="248" t="s">
        <v>24</v>
      </c>
      <c r="F54" s="248" t="s">
        <v>25</v>
      </c>
      <c r="G54" s="248" t="s">
        <v>333</v>
      </c>
      <c r="H54" s="248"/>
      <c r="I54" s="248" t="s">
        <v>27</v>
      </c>
      <c r="J54" s="248" t="s">
        <v>28</v>
      </c>
      <c r="K54" s="248" t="s">
        <v>192</v>
      </c>
      <c r="L54" s="250" t="s">
        <v>321</v>
      </c>
      <c r="M54" s="251">
        <v>187.2</v>
      </c>
      <c r="N54" s="251"/>
      <c r="O54" s="251"/>
      <c r="P54" s="251"/>
      <c r="Q54" s="251"/>
      <c r="R54" s="251">
        <v>187.2</v>
      </c>
      <c r="S54" s="248" t="s">
        <v>65</v>
      </c>
      <c r="T54" s="251"/>
      <c r="U54" s="248"/>
      <c r="V54" s="248"/>
    </row>
    <row r="55" spans="1:22" s="252" customFormat="1" hidden="1">
      <c r="A55" s="247">
        <v>54</v>
      </c>
      <c r="B55" s="248" t="s">
        <v>334</v>
      </c>
      <c r="C55" s="249">
        <v>44873</v>
      </c>
      <c r="D55" s="248" t="s">
        <v>335</v>
      </c>
      <c r="E55" s="248" t="s">
        <v>24</v>
      </c>
      <c r="F55" s="248" t="s">
        <v>25</v>
      </c>
      <c r="G55" s="248" t="s">
        <v>336</v>
      </c>
      <c r="H55" s="248" t="s">
        <v>337</v>
      </c>
      <c r="I55" s="248" t="s">
        <v>27</v>
      </c>
      <c r="J55" s="248" t="s">
        <v>28</v>
      </c>
      <c r="K55" s="248" t="s">
        <v>207</v>
      </c>
      <c r="L55" s="250" t="s">
        <v>208</v>
      </c>
      <c r="M55" s="251">
        <v>1.1000000000000001</v>
      </c>
      <c r="N55" s="251"/>
      <c r="O55" s="251"/>
      <c r="P55" s="251"/>
      <c r="Q55" s="251"/>
      <c r="R55" s="251">
        <v>1.1000000000000001</v>
      </c>
      <c r="S55" s="248" t="s">
        <v>31</v>
      </c>
      <c r="T55" s="251"/>
      <c r="U55" s="248"/>
      <c r="V55" s="248"/>
    </row>
    <row r="56" spans="1:22" s="252" customFormat="1" hidden="1">
      <c r="A56" s="247">
        <v>55</v>
      </c>
      <c r="B56" s="248" t="s">
        <v>334</v>
      </c>
      <c r="C56" s="249">
        <v>44873</v>
      </c>
      <c r="D56" s="248" t="s">
        <v>335</v>
      </c>
      <c r="E56" s="248" t="s">
        <v>24</v>
      </c>
      <c r="F56" s="248" t="s">
        <v>25</v>
      </c>
      <c r="G56" s="248" t="s">
        <v>336</v>
      </c>
      <c r="H56" s="248" t="s">
        <v>337</v>
      </c>
      <c r="I56" s="248" t="s">
        <v>27</v>
      </c>
      <c r="J56" s="248" t="s">
        <v>28</v>
      </c>
      <c r="K56" s="248" t="s">
        <v>209</v>
      </c>
      <c r="L56" s="250" t="s">
        <v>210</v>
      </c>
      <c r="M56" s="251">
        <v>20.9</v>
      </c>
      <c r="N56" s="251"/>
      <c r="O56" s="251"/>
      <c r="P56" s="251"/>
      <c r="Q56" s="251"/>
      <c r="R56" s="251">
        <v>20.9</v>
      </c>
      <c r="S56" s="248" t="s">
        <v>31</v>
      </c>
      <c r="T56" s="251"/>
      <c r="U56" s="248"/>
      <c r="V56" s="248"/>
    </row>
    <row r="57" spans="1:22" s="252" customFormat="1" hidden="1">
      <c r="A57" s="247">
        <v>56</v>
      </c>
      <c r="B57" s="248" t="s">
        <v>334</v>
      </c>
      <c r="C57" s="249">
        <v>44873</v>
      </c>
      <c r="D57" s="248" t="s">
        <v>335</v>
      </c>
      <c r="E57" s="248" t="s">
        <v>24</v>
      </c>
      <c r="F57" s="248" t="s">
        <v>25</v>
      </c>
      <c r="G57" s="248" t="s">
        <v>336</v>
      </c>
      <c r="H57" s="248" t="s">
        <v>337</v>
      </c>
      <c r="I57" s="248" t="s">
        <v>27</v>
      </c>
      <c r="J57" s="248" t="s">
        <v>28</v>
      </c>
      <c r="K57" s="248" t="s">
        <v>182</v>
      </c>
      <c r="L57" s="250" t="s">
        <v>183</v>
      </c>
      <c r="M57" s="251">
        <v>1.1000000000000001</v>
      </c>
      <c r="N57" s="251"/>
      <c r="O57" s="251"/>
      <c r="P57" s="251"/>
      <c r="Q57" s="251"/>
      <c r="R57" s="251">
        <v>1.1000000000000001</v>
      </c>
      <c r="S57" s="248" t="s">
        <v>31</v>
      </c>
      <c r="T57" s="251"/>
      <c r="U57" s="248"/>
      <c r="V57" s="248"/>
    </row>
    <row r="58" spans="1:22" s="252" customFormat="1" hidden="1">
      <c r="A58" s="247">
        <v>57</v>
      </c>
      <c r="B58" s="248" t="s">
        <v>334</v>
      </c>
      <c r="C58" s="249">
        <v>44873</v>
      </c>
      <c r="D58" s="248" t="s">
        <v>335</v>
      </c>
      <c r="E58" s="248" t="s">
        <v>24</v>
      </c>
      <c r="F58" s="248" t="s">
        <v>25</v>
      </c>
      <c r="G58" s="248" t="s">
        <v>336</v>
      </c>
      <c r="H58" s="248" t="s">
        <v>337</v>
      </c>
      <c r="I58" s="248" t="s">
        <v>27</v>
      </c>
      <c r="J58" s="248" t="s">
        <v>28</v>
      </c>
      <c r="K58" s="248" t="s">
        <v>184</v>
      </c>
      <c r="L58" s="250" t="s">
        <v>185</v>
      </c>
      <c r="M58" s="251">
        <v>5.5</v>
      </c>
      <c r="N58" s="251"/>
      <c r="O58" s="251"/>
      <c r="P58" s="251"/>
      <c r="Q58" s="251"/>
      <c r="R58" s="251">
        <v>5.5</v>
      </c>
      <c r="S58" s="248" t="s">
        <v>31</v>
      </c>
      <c r="T58" s="251"/>
      <c r="U58" s="248"/>
      <c r="V58" s="248"/>
    </row>
    <row r="59" spans="1:22" s="252" customFormat="1" hidden="1">
      <c r="A59" s="247">
        <v>58</v>
      </c>
      <c r="B59" s="248" t="s">
        <v>334</v>
      </c>
      <c r="C59" s="249">
        <v>44873</v>
      </c>
      <c r="D59" s="248" t="s">
        <v>335</v>
      </c>
      <c r="E59" s="248" t="s">
        <v>24</v>
      </c>
      <c r="F59" s="248" t="s">
        <v>25</v>
      </c>
      <c r="G59" s="248" t="s">
        <v>336</v>
      </c>
      <c r="H59" s="248" t="s">
        <v>337</v>
      </c>
      <c r="I59" s="248" t="s">
        <v>27</v>
      </c>
      <c r="J59" s="248" t="s">
        <v>28</v>
      </c>
      <c r="K59" s="248" t="s">
        <v>211</v>
      </c>
      <c r="L59" s="250" t="s">
        <v>212</v>
      </c>
      <c r="M59" s="251">
        <v>8.8000000000000007</v>
      </c>
      <c r="N59" s="251"/>
      <c r="O59" s="251"/>
      <c r="P59" s="251"/>
      <c r="Q59" s="251"/>
      <c r="R59" s="251">
        <v>8.8000000000000007</v>
      </c>
      <c r="S59" s="248" t="s">
        <v>31</v>
      </c>
      <c r="T59" s="251"/>
      <c r="U59" s="248"/>
      <c r="V59" s="248"/>
    </row>
    <row r="60" spans="1:22" s="252" customFormat="1" hidden="1">
      <c r="A60" s="247">
        <v>59</v>
      </c>
      <c r="B60" s="248" t="s">
        <v>334</v>
      </c>
      <c r="C60" s="249">
        <v>44873</v>
      </c>
      <c r="D60" s="248" t="s">
        <v>335</v>
      </c>
      <c r="E60" s="248" t="s">
        <v>24</v>
      </c>
      <c r="F60" s="248" t="s">
        <v>25</v>
      </c>
      <c r="G60" s="248" t="s">
        <v>336</v>
      </c>
      <c r="H60" s="248" t="s">
        <v>337</v>
      </c>
      <c r="I60" s="248" t="s">
        <v>27</v>
      </c>
      <c r="J60" s="248" t="s">
        <v>28</v>
      </c>
      <c r="K60" s="248" t="s">
        <v>213</v>
      </c>
      <c r="L60" s="250" t="s">
        <v>214</v>
      </c>
      <c r="M60" s="251">
        <v>1.1000000000000001</v>
      </c>
      <c r="N60" s="251"/>
      <c r="O60" s="251"/>
      <c r="P60" s="251"/>
      <c r="Q60" s="251"/>
      <c r="R60" s="251">
        <v>1.1000000000000001</v>
      </c>
      <c r="S60" s="248" t="s">
        <v>31</v>
      </c>
      <c r="T60" s="251"/>
      <c r="U60" s="248"/>
      <c r="V60" s="248"/>
    </row>
    <row r="61" spans="1:22" s="252" customFormat="1" hidden="1">
      <c r="A61" s="247">
        <v>60</v>
      </c>
      <c r="B61" s="248" t="s">
        <v>334</v>
      </c>
      <c r="C61" s="249">
        <v>44873</v>
      </c>
      <c r="D61" s="248" t="s">
        <v>335</v>
      </c>
      <c r="E61" s="248" t="s">
        <v>24</v>
      </c>
      <c r="F61" s="248" t="s">
        <v>25</v>
      </c>
      <c r="G61" s="248" t="s">
        <v>336</v>
      </c>
      <c r="H61" s="248" t="s">
        <v>337</v>
      </c>
      <c r="I61" s="248" t="s">
        <v>27</v>
      </c>
      <c r="J61" s="248" t="s">
        <v>28</v>
      </c>
      <c r="K61" s="248" t="s">
        <v>215</v>
      </c>
      <c r="L61" s="250" t="s">
        <v>216</v>
      </c>
      <c r="M61" s="251">
        <v>2.2000000000000002</v>
      </c>
      <c r="N61" s="251"/>
      <c r="O61" s="251"/>
      <c r="P61" s="251"/>
      <c r="Q61" s="251"/>
      <c r="R61" s="251">
        <v>2.2000000000000002</v>
      </c>
      <c r="S61" s="248" t="s">
        <v>31</v>
      </c>
      <c r="T61" s="251"/>
      <c r="U61" s="248"/>
      <c r="V61" s="248"/>
    </row>
    <row r="62" spans="1:22" s="252" customFormat="1" hidden="1">
      <c r="A62" s="247">
        <v>61</v>
      </c>
      <c r="B62" s="248" t="s">
        <v>334</v>
      </c>
      <c r="C62" s="249">
        <v>44873</v>
      </c>
      <c r="D62" s="248" t="s">
        <v>335</v>
      </c>
      <c r="E62" s="248" t="s">
        <v>24</v>
      </c>
      <c r="F62" s="248" t="s">
        <v>25</v>
      </c>
      <c r="G62" s="248" t="s">
        <v>336</v>
      </c>
      <c r="H62" s="248" t="s">
        <v>337</v>
      </c>
      <c r="I62" s="248" t="s">
        <v>27</v>
      </c>
      <c r="J62" s="248" t="s">
        <v>28</v>
      </c>
      <c r="K62" s="248" t="s">
        <v>217</v>
      </c>
      <c r="L62" s="250" t="s">
        <v>218</v>
      </c>
      <c r="M62" s="251">
        <v>908.6</v>
      </c>
      <c r="N62" s="251"/>
      <c r="O62" s="251"/>
      <c r="P62" s="251"/>
      <c r="Q62" s="251"/>
      <c r="R62" s="251">
        <v>908.6</v>
      </c>
      <c r="S62" s="248" t="s">
        <v>31</v>
      </c>
      <c r="T62" s="251"/>
      <c r="U62" s="248"/>
      <c r="V62" s="248"/>
    </row>
    <row r="63" spans="1:22" s="252" customFormat="1" hidden="1">
      <c r="A63" s="247">
        <v>62</v>
      </c>
      <c r="B63" s="248" t="s">
        <v>334</v>
      </c>
      <c r="C63" s="249">
        <v>44873</v>
      </c>
      <c r="D63" s="248" t="s">
        <v>335</v>
      </c>
      <c r="E63" s="248" t="s">
        <v>24</v>
      </c>
      <c r="F63" s="248" t="s">
        <v>25</v>
      </c>
      <c r="G63" s="248" t="s">
        <v>336</v>
      </c>
      <c r="H63" s="248" t="s">
        <v>337</v>
      </c>
      <c r="I63" s="248" t="s">
        <v>27</v>
      </c>
      <c r="J63" s="248" t="s">
        <v>28</v>
      </c>
      <c r="K63" s="248" t="s">
        <v>219</v>
      </c>
      <c r="L63" s="250" t="s">
        <v>220</v>
      </c>
      <c r="M63" s="251">
        <v>193.6</v>
      </c>
      <c r="N63" s="251"/>
      <c r="O63" s="251"/>
      <c r="P63" s="251"/>
      <c r="Q63" s="251"/>
      <c r="R63" s="251">
        <v>193.6</v>
      </c>
      <c r="S63" s="248" t="s">
        <v>31</v>
      </c>
      <c r="T63" s="251"/>
      <c r="U63" s="248"/>
      <c r="V63" s="248"/>
    </row>
    <row r="64" spans="1:22" s="252" customFormat="1" hidden="1">
      <c r="A64" s="247">
        <v>63</v>
      </c>
      <c r="B64" s="248" t="s">
        <v>334</v>
      </c>
      <c r="C64" s="249">
        <v>44873</v>
      </c>
      <c r="D64" s="248" t="s">
        <v>335</v>
      </c>
      <c r="E64" s="248" t="s">
        <v>24</v>
      </c>
      <c r="F64" s="248" t="s">
        <v>25</v>
      </c>
      <c r="G64" s="248" t="s">
        <v>336</v>
      </c>
      <c r="H64" s="248" t="s">
        <v>337</v>
      </c>
      <c r="I64" s="248" t="s">
        <v>27</v>
      </c>
      <c r="J64" s="248" t="s">
        <v>28</v>
      </c>
      <c r="K64" s="248" t="s">
        <v>221</v>
      </c>
      <c r="L64" s="250" t="s">
        <v>222</v>
      </c>
      <c r="M64" s="251">
        <v>85.8</v>
      </c>
      <c r="N64" s="251"/>
      <c r="O64" s="251"/>
      <c r="P64" s="251"/>
      <c r="Q64" s="251"/>
      <c r="R64" s="251">
        <v>85.8</v>
      </c>
      <c r="S64" s="248" t="s">
        <v>31</v>
      </c>
      <c r="T64" s="251"/>
      <c r="U64" s="248"/>
      <c r="V64" s="248"/>
    </row>
    <row r="65" spans="1:22" s="252" customFormat="1" hidden="1">
      <c r="A65" s="247">
        <v>64</v>
      </c>
      <c r="B65" s="248" t="s">
        <v>334</v>
      </c>
      <c r="C65" s="249">
        <v>44873</v>
      </c>
      <c r="D65" s="248" t="s">
        <v>335</v>
      </c>
      <c r="E65" s="248" t="s">
        <v>24</v>
      </c>
      <c r="F65" s="248" t="s">
        <v>25</v>
      </c>
      <c r="G65" s="248" t="s">
        <v>336</v>
      </c>
      <c r="H65" s="248" t="s">
        <v>337</v>
      </c>
      <c r="I65" s="248" t="s">
        <v>27</v>
      </c>
      <c r="J65" s="248" t="s">
        <v>28</v>
      </c>
      <c r="K65" s="248" t="s">
        <v>223</v>
      </c>
      <c r="L65" s="250" t="s">
        <v>224</v>
      </c>
      <c r="M65" s="251">
        <v>34.1</v>
      </c>
      <c r="N65" s="251"/>
      <c r="O65" s="251"/>
      <c r="P65" s="251"/>
      <c r="Q65" s="251"/>
      <c r="R65" s="251">
        <v>34.1</v>
      </c>
      <c r="S65" s="248" t="s">
        <v>31</v>
      </c>
      <c r="T65" s="251"/>
      <c r="U65" s="248"/>
      <c r="V65" s="248"/>
    </row>
    <row r="66" spans="1:22" s="252" customFormat="1" hidden="1">
      <c r="A66" s="247">
        <v>65</v>
      </c>
      <c r="B66" s="248" t="s">
        <v>334</v>
      </c>
      <c r="C66" s="249">
        <v>44873</v>
      </c>
      <c r="D66" s="248" t="s">
        <v>335</v>
      </c>
      <c r="E66" s="248" t="s">
        <v>24</v>
      </c>
      <c r="F66" s="248" t="s">
        <v>25</v>
      </c>
      <c r="G66" s="248" t="s">
        <v>336</v>
      </c>
      <c r="H66" s="248" t="s">
        <v>337</v>
      </c>
      <c r="I66" s="248" t="s">
        <v>27</v>
      </c>
      <c r="J66" s="248" t="s">
        <v>28</v>
      </c>
      <c r="K66" s="248" t="s">
        <v>225</v>
      </c>
      <c r="L66" s="250" t="s">
        <v>226</v>
      </c>
      <c r="M66" s="251">
        <v>38.5</v>
      </c>
      <c r="N66" s="251"/>
      <c r="O66" s="251"/>
      <c r="P66" s="251"/>
      <c r="Q66" s="251"/>
      <c r="R66" s="251">
        <v>38.5</v>
      </c>
      <c r="S66" s="248" t="s">
        <v>31</v>
      </c>
      <c r="T66" s="251"/>
      <c r="U66" s="248"/>
      <c r="V66" s="248"/>
    </row>
    <row r="67" spans="1:22" s="252" customFormat="1" hidden="1">
      <c r="A67" s="247">
        <v>66</v>
      </c>
      <c r="B67" s="248" t="s">
        <v>334</v>
      </c>
      <c r="C67" s="249">
        <v>44873</v>
      </c>
      <c r="D67" s="248" t="s">
        <v>335</v>
      </c>
      <c r="E67" s="248" t="s">
        <v>24</v>
      </c>
      <c r="F67" s="248" t="s">
        <v>25</v>
      </c>
      <c r="G67" s="248" t="s">
        <v>336</v>
      </c>
      <c r="H67" s="248" t="s">
        <v>337</v>
      </c>
      <c r="I67" s="248" t="s">
        <v>27</v>
      </c>
      <c r="J67" s="248" t="s">
        <v>28</v>
      </c>
      <c r="K67" s="248" t="s">
        <v>291</v>
      </c>
      <c r="L67" s="250" t="s">
        <v>310</v>
      </c>
      <c r="M67" s="251">
        <v>125.4</v>
      </c>
      <c r="N67" s="251"/>
      <c r="O67" s="251"/>
      <c r="P67" s="251"/>
      <c r="Q67" s="251"/>
      <c r="R67" s="251">
        <v>125.4</v>
      </c>
      <c r="S67" s="248" t="s">
        <v>31</v>
      </c>
      <c r="T67" s="251"/>
      <c r="U67" s="248"/>
      <c r="V67" s="248"/>
    </row>
    <row r="68" spans="1:22" s="252" customFormat="1" hidden="1">
      <c r="A68" s="247">
        <v>67</v>
      </c>
      <c r="B68" s="248" t="s">
        <v>334</v>
      </c>
      <c r="C68" s="249">
        <v>44873</v>
      </c>
      <c r="D68" s="248" t="s">
        <v>335</v>
      </c>
      <c r="E68" s="248" t="s">
        <v>24</v>
      </c>
      <c r="F68" s="248" t="s">
        <v>25</v>
      </c>
      <c r="G68" s="248" t="s">
        <v>336</v>
      </c>
      <c r="H68" s="248" t="s">
        <v>337</v>
      </c>
      <c r="I68" s="248" t="s">
        <v>27</v>
      </c>
      <c r="J68" s="248" t="s">
        <v>28</v>
      </c>
      <c r="K68" s="248" t="s">
        <v>229</v>
      </c>
      <c r="L68" s="250" t="s">
        <v>230</v>
      </c>
      <c r="M68" s="251">
        <v>39.6</v>
      </c>
      <c r="N68" s="251"/>
      <c r="O68" s="251"/>
      <c r="P68" s="251"/>
      <c r="Q68" s="251"/>
      <c r="R68" s="251">
        <v>39.6</v>
      </c>
      <c r="S68" s="248" t="s">
        <v>31</v>
      </c>
      <c r="T68" s="251"/>
      <c r="U68" s="248"/>
      <c r="V68" s="248"/>
    </row>
    <row r="69" spans="1:22" s="252" customFormat="1" hidden="1">
      <c r="A69" s="247">
        <v>68</v>
      </c>
      <c r="B69" s="248" t="s">
        <v>338</v>
      </c>
      <c r="C69" s="249">
        <v>44872</v>
      </c>
      <c r="D69" s="248" t="s">
        <v>339</v>
      </c>
      <c r="E69" s="248" t="s">
        <v>24</v>
      </c>
      <c r="F69" s="248" t="s">
        <v>25</v>
      </c>
      <c r="G69" s="248" t="s">
        <v>340</v>
      </c>
      <c r="H69" s="248"/>
      <c r="I69" s="248" t="s">
        <v>27</v>
      </c>
      <c r="J69" s="248" t="s">
        <v>28</v>
      </c>
      <c r="K69" s="248" t="s">
        <v>196</v>
      </c>
      <c r="L69" s="250" t="s">
        <v>341</v>
      </c>
      <c r="M69" s="251">
        <v>648</v>
      </c>
      <c r="N69" s="251"/>
      <c r="O69" s="251"/>
      <c r="P69" s="251"/>
      <c r="Q69" s="251"/>
      <c r="R69" s="251">
        <v>648</v>
      </c>
      <c r="S69" s="248" t="s">
        <v>65</v>
      </c>
      <c r="T69" s="251"/>
      <c r="U69" s="248"/>
      <c r="V69" s="248"/>
    </row>
    <row r="70" spans="1:22" s="252" customFormat="1" hidden="1">
      <c r="A70" s="247">
        <v>69</v>
      </c>
      <c r="B70" s="248" t="s">
        <v>342</v>
      </c>
      <c r="C70" s="249">
        <v>44872</v>
      </c>
      <c r="D70" s="248" t="s">
        <v>343</v>
      </c>
      <c r="E70" s="248" t="s">
        <v>24</v>
      </c>
      <c r="F70" s="248" t="s">
        <v>25</v>
      </c>
      <c r="G70" s="248" t="s">
        <v>344</v>
      </c>
      <c r="H70" s="248"/>
      <c r="I70" s="248" t="s">
        <v>27</v>
      </c>
      <c r="J70" s="248" t="s">
        <v>28</v>
      </c>
      <c r="K70" s="248" t="s">
        <v>192</v>
      </c>
      <c r="L70" s="250" t="s">
        <v>321</v>
      </c>
      <c r="M70" s="251">
        <v>648</v>
      </c>
      <c r="N70" s="251"/>
      <c r="O70" s="251"/>
      <c r="P70" s="251"/>
      <c r="Q70" s="251"/>
      <c r="R70" s="251">
        <v>648</v>
      </c>
      <c r="S70" s="248" t="s">
        <v>65</v>
      </c>
      <c r="T70" s="251"/>
      <c r="U70" s="248"/>
      <c r="V70" s="248"/>
    </row>
    <row r="71" spans="1:22" s="252" customFormat="1" hidden="1">
      <c r="A71" s="247">
        <v>70</v>
      </c>
      <c r="B71" s="248" t="s">
        <v>342</v>
      </c>
      <c r="C71" s="249">
        <v>44872</v>
      </c>
      <c r="D71" s="248" t="s">
        <v>343</v>
      </c>
      <c r="E71" s="248" t="s">
        <v>24</v>
      </c>
      <c r="F71" s="248" t="s">
        <v>25</v>
      </c>
      <c r="G71" s="248" t="s">
        <v>344</v>
      </c>
      <c r="H71" s="248"/>
      <c r="I71" s="248" t="s">
        <v>27</v>
      </c>
      <c r="J71" s="248" t="s">
        <v>28</v>
      </c>
      <c r="K71" s="248" t="s">
        <v>196</v>
      </c>
      <c r="L71" s="250" t="s">
        <v>341</v>
      </c>
      <c r="M71" s="251">
        <v>174.84</v>
      </c>
      <c r="N71" s="251"/>
      <c r="O71" s="251"/>
      <c r="P71" s="251"/>
      <c r="Q71" s="251"/>
      <c r="R71" s="251">
        <v>174.84</v>
      </c>
      <c r="S71" s="248" t="s">
        <v>65</v>
      </c>
      <c r="T71" s="251"/>
      <c r="U71" s="248"/>
      <c r="V71" s="248"/>
    </row>
    <row r="72" spans="1:22" s="252" customFormat="1" hidden="1">
      <c r="A72" s="247">
        <v>71</v>
      </c>
      <c r="B72" s="248" t="s">
        <v>345</v>
      </c>
      <c r="C72" s="249">
        <v>44872</v>
      </c>
      <c r="D72" s="248" t="s">
        <v>346</v>
      </c>
      <c r="E72" s="248" t="s">
        <v>24</v>
      </c>
      <c r="F72" s="248" t="s">
        <v>25</v>
      </c>
      <c r="G72" s="248" t="s">
        <v>347</v>
      </c>
      <c r="H72" s="248"/>
      <c r="I72" s="248" t="s">
        <v>27</v>
      </c>
      <c r="J72" s="248" t="s">
        <v>28</v>
      </c>
      <c r="K72" s="248" t="s">
        <v>188</v>
      </c>
      <c r="L72" s="250" t="s">
        <v>320</v>
      </c>
      <c r="M72" s="251">
        <v>997.5</v>
      </c>
      <c r="N72" s="251"/>
      <c r="O72" s="251"/>
      <c r="P72" s="251"/>
      <c r="Q72" s="251"/>
      <c r="R72" s="251">
        <v>997.5</v>
      </c>
      <c r="S72" s="248" t="s">
        <v>65</v>
      </c>
      <c r="T72" s="251"/>
      <c r="U72" s="248"/>
      <c r="V72" s="248"/>
    </row>
    <row r="73" spans="1:22" s="252" customFormat="1" hidden="1">
      <c r="A73" s="247">
        <v>72</v>
      </c>
      <c r="B73" s="248" t="s">
        <v>345</v>
      </c>
      <c r="C73" s="249">
        <v>44872</v>
      </c>
      <c r="D73" s="248" t="s">
        <v>346</v>
      </c>
      <c r="E73" s="248" t="s">
        <v>24</v>
      </c>
      <c r="F73" s="248" t="s">
        <v>25</v>
      </c>
      <c r="G73" s="248" t="s">
        <v>347</v>
      </c>
      <c r="H73" s="248"/>
      <c r="I73" s="248" t="s">
        <v>27</v>
      </c>
      <c r="J73" s="248" t="s">
        <v>28</v>
      </c>
      <c r="K73" s="248" t="s">
        <v>198</v>
      </c>
      <c r="L73" s="250" t="s">
        <v>348</v>
      </c>
      <c r="M73" s="251">
        <v>11.88</v>
      </c>
      <c r="N73" s="251"/>
      <c r="O73" s="251"/>
      <c r="P73" s="251"/>
      <c r="Q73" s="251"/>
      <c r="R73" s="251">
        <v>11.88</v>
      </c>
      <c r="S73" s="248" t="s">
        <v>65</v>
      </c>
      <c r="T73" s="251"/>
      <c r="U73" s="248"/>
      <c r="V73" s="248"/>
    </row>
    <row r="74" spans="1:22" s="258" customFormat="1" hidden="1">
      <c r="A74" s="253">
        <v>73</v>
      </c>
      <c r="B74" s="254" t="s">
        <v>349</v>
      </c>
      <c r="C74" s="255">
        <v>44878</v>
      </c>
      <c r="D74" s="254" t="s">
        <v>350</v>
      </c>
      <c r="E74" s="254" t="s">
        <v>24</v>
      </c>
      <c r="F74" s="254" t="s">
        <v>25</v>
      </c>
      <c r="G74" s="254" t="s">
        <v>351</v>
      </c>
      <c r="H74" s="254"/>
      <c r="I74" s="254" t="s">
        <v>27</v>
      </c>
      <c r="J74" s="254" t="s">
        <v>28</v>
      </c>
      <c r="K74" s="254" t="s">
        <v>125</v>
      </c>
      <c r="L74" s="256" t="s">
        <v>352</v>
      </c>
      <c r="M74" s="257">
        <v>600</v>
      </c>
      <c r="N74" s="257"/>
      <c r="O74" s="257"/>
      <c r="P74" s="257"/>
      <c r="Q74" s="257"/>
      <c r="R74" s="257">
        <v>600</v>
      </c>
      <c r="S74" s="254" t="s">
        <v>31</v>
      </c>
      <c r="T74" s="257"/>
      <c r="U74" s="254"/>
      <c r="V74" s="254"/>
    </row>
    <row r="75" spans="1:22" s="258" customFormat="1" hidden="1">
      <c r="A75" s="253">
        <v>74</v>
      </c>
      <c r="B75" s="254" t="s">
        <v>349</v>
      </c>
      <c r="C75" s="255">
        <v>44878</v>
      </c>
      <c r="D75" s="254" t="s">
        <v>350</v>
      </c>
      <c r="E75" s="254" t="s">
        <v>24</v>
      </c>
      <c r="F75" s="254" t="s">
        <v>25</v>
      </c>
      <c r="G75" s="254" t="s">
        <v>351</v>
      </c>
      <c r="H75" s="254"/>
      <c r="I75" s="254" t="s">
        <v>27</v>
      </c>
      <c r="J75" s="254" t="s">
        <v>28</v>
      </c>
      <c r="K75" s="254" t="s">
        <v>41</v>
      </c>
      <c r="L75" s="256" t="s">
        <v>42</v>
      </c>
      <c r="M75" s="257">
        <v>684</v>
      </c>
      <c r="N75" s="257"/>
      <c r="O75" s="257"/>
      <c r="P75" s="257"/>
      <c r="Q75" s="257"/>
      <c r="R75" s="257">
        <v>684</v>
      </c>
      <c r="S75" s="254" t="s">
        <v>31</v>
      </c>
      <c r="T75" s="257"/>
      <c r="U75" s="254"/>
      <c r="V75" s="254"/>
    </row>
    <row r="76" spans="1:22" s="258" customFormat="1" hidden="1">
      <c r="A76" s="253">
        <v>75</v>
      </c>
      <c r="B76" s="254" t="s">
        <v>353</v>
      </c>
      <c r="C76" s="255">
        <v>44886</v>
      </c>
      <c r="D76" s="254" t="s">
        <v>354</v>
      </c>
      <c r="E76" s="254" t="s">
        <v>24</v>
      </c>
      <c r="F76" s="254" t="s">
        <v>25</v>
      </c>
      <c r="G76" s="254" t="s">
        <v>355</v>
      </c>
      <c r="H76" s="254"/>
      <c r="I76" s="254" t="s">
        <v>27</v>
      </c>
      <c r="J76" s="254" t="s">
        <v>28</v>
      </c>
      <c r="K76" s="254" t="s">
        <v>125</v>
      </c>
      <c r="L76" s="256" t="s">
        <v>352</v>
      </c>
      <c r="M76" s="257">
        <v>504.5</v>
      </c>
      <c r="N76" s="257"/>
      <c r="O76" s="257"/>
      <c r="P76" s="257"/>
      <c r="Q76" s="257"/>
      <c r="R76" s="257">
        <v>504.5</v>
      </c>
      <c r="S76" s="254" t="s">
        <v>31</v>
      </c>
      <c r="T76" s="257"/>
      <c r="U76" s="254"/>
      <c r="V76" s="254"/>
    </row>
    <row r="77" spans="1:22" s="258" customFormat="1" hidden="1">
      <c r="A77" s="253">
        <v>76</v>
      </c>
      <c r="B77" s="254" t="s">
        <v>353</v>
      </c>
      <c r="C77" s="255">
        <v>44886</v>
      </c>
      <c r="D77" s="254" t="s">
        <v>354</v>
      </c>
      <c r="E77" s="254" t="s">
        <v>24</v>
      </c>
      <c r="F77" s="254" t="s">
        <v>25</v>
      </c>
      <c r="G77" s="254" t="s">
        <v>355</v>
      </c>
      <c r="H77" s="254"/>
      <c r="I77" s="254" t="s">
        <v>27</v>
      </c>
      <c r="J77" s="254" t="s">
        <v>28</v>
      </c>
      <c r="K77" s="254" t="s">
        <v>41</v>
      </c>
      <c r="L77" s="256" t="s">
        <v>42</v>
      </c>
      <c r="M77" s="257">
        <v>630</v>
      </c>
      <c r="N77" s="257"/>
      <c r="O77" s="257"/>
      <c r="P77" s="257"/>
      <c r="Q77" s="257"/>
      <c r="R77" s="257">
        <v>630</v>
      </c>
      <c r="S77" s="254" t="s">
        <v>31</v>
      </c>
      <c r="T77" s="257"/>
      <c r="U77" s="254"/>
      <c r="V77" s="254"/>
    </row>
    <row r="78" spans="1:22" s="258" customFormat="1" hidden="1">
      <c r="A78" s="253">
        <v>77</v>
      </c>
      <c r="B78" s="254" t="s">
        <v>353</v>
      </c>
      <c r="C78" s="255">
        <v>44886</v>
      </c>
      <c r="D78" s="254" t="s">
        <v>354</v>
      </c>
      <c r="E78" s="254" t="s">
        <v>24</v>
      </c>
      <c r="F78" s="254" t="s">
        <v>25</v>
      </c>
      <c r="G78" s="254" t="s">
        <v>355</v>
      </c>
      <c r="H78" s="254"/>
      <c r="I78" s="254" t="s">
        <v>27</v>
      </c>
      <c r="J78" s="254" t="s">
        <v>28</v>
      </c>
      <c r="K78" s="254" t="s">
        <v>111</v>
      </c>
      <c r="L78" s="256" t="s">
        <v>112</v>
      </c>
      <c r="M78" s="257">
        <v>96</v>
      </c>
      <c r="N78" s="257"/>
      <c r="O78" s="257"/>
      <c r="P78" s="257"/>
      <c r="Q78" s="257"/>
      <c r="R78" s="257">
        <v>96</v>
      </c>
      <c r="S78" s="254" t="s">
        <v>31</v>
      </c>
      <c r="T78" s="257"/>
      <c r="U78" s="254"/>
      <c r="V78" s="254"/>
    </row>
    <row r="79" spans="1:22" s="258" customFormat="1" hidden="1">
      <c r="A79" s="253">
        <v>78</v>
      </c>
      <c r="B79" s="254" t="s">
        <v>353</v>
      </c>
      <c r="C79" s="255">
        <v>44886</v>
      </c>
      <c r="D79" s="254" t="s">
        <v>354</v>
      </c>
      <c r="E79" s="254" t="s">
        <v>24</v>
      </c>
      <c r="F79" s="254" t="s">
        <v>25</v>
      </c>
      <c r="G79" s="254" t="s">
        <v>355</v>
      </c>
      <c r="H79" s="254"/>
      <c r="I79" s="254" t="s">
        <v>27</v>
      </c>
      <c r="J79" s="254" t="s">
        <v>28</v>
      </c>
      <c r="K79" s="254" t="s">
        <v>146</v>
      </c>
      <c r="L79" s="256" t="s">
        <v>356</v>
      </c>
      <c r="M79" s="257">
        <v>57</v>
      </c>
      <c r="N79" s="257"/>
      <c r="O79" s="257"/>
      <c r="P79" s="257"/>
      <c r="Q79" s="257"/>
      <c r="R79" s="257">
        <v>57</v>
      </c>
      <c r="S79" s="254" t="s">
        <v>31</v>
      </c>
      <c r="T79" s="257"/>
      <c r="U79" s="254"/>
      <c r="V79" s="254"/>
    </row>
    <row r="80" spans="1:22" s="258" customFormat="1" hidden="1">
      <c r="A80" s="253">
        <v>79</v>
      </c>
      <c r="B80" s="254" t="s">
        <v>357</v>
      </c>
      <c r="C80" s="255">
        <v>44886</v>
      </c>
      <c r="D80" s="254" t="s">
        <v>358</v>
      </c>
      <c r="E80" s="254" t="s">
        <v>24</v>
      </c>
      <c r="F80" s="254" t="s">
        <v>25</v>
      </c>
      <c r="G80" s="254" t="s">
        <v>359</v>
      </c>
      <c r="H80" s="254"/>
      <c r="I80" s="254" t="s">
        <v>27</v>
      </c>
      <c r="J80" s="254" t="s">
        <v>28</v>
      </c>
      <c r="K80" s="254" t="s">
        <v>150</v>
      </c>
      <c r="L80" s="256" t="s">
        <v>360</v>
      </c>
      <c r="M80" s="257">
        <v>45</v>
      </c>
      <c r="N80" s="257"/>
      <c r="O80" s="257"/>
      <c r="P80" s="257"/>
      <c r="Q80" s="257"/>
      <c r="R80" s="257">
        <v>45</v>
      </c>
      <c r="S80" s="254" t="s">
        <v>31</v>
      </c>
      <c r="T80" s="257"/>
      <c r="U80" s="254"/>
      <c r="V80" s="254"/>
    </row>
    <row r="81" spans="1:22" s="258" customFormat="1" hidden="1">
      <c r="A81" s="253">
        <v>80</v>
      </c>
      <c r="B81" s="254" t="s">
        <v>357</v>
      </c>
      <c r="C81" s="255">
        <v>44886</v>
      </c>
      <c r="D81" s="254" t="s">
        <v>358</v>
      </c>
      <c r="E81" s="254" t="s">
        <v>24</v>
      </c>
      <c r="F81" s="254" t="s">
        <v>25</v>
      </c>
      <c r="G81" s="254" t="s">
        <v>359</v>
      </c>
      <c r="H81" s="254"/>
      <c r="I81" s="254" t="s">
        <v>27</v>
      </c>
      <c r="J81" s="254" t="s">
        <v>28</v>
      </c>
      <c r="K81" s="254" t="s">
        <v>56</v>
      </c>
      <c r="L81" s="256" t="s">
        <v>57</v>
      </c>
      <c r="M81" s="257">
        <v>128</v>
      </c>
      <c r="N81" s="257"/>
      <c r="O81" s="257"/>
      <c r="P81" s="257"/>
      <c r="Q81" s="257"/>
      <c r="R81" s="257">
        <v>128</v>
      </c>
      <c r="S81" s="254" t="s">
        <v>31</v>
      </c>
      <c r="T81" s="257"/>
      <c r="U81" s="254"/>
      <c r="V81" s="254"/>
    </row>
    <row r="82" spans="1:22" s="258" customFormat="1" hidden="1">
      <c r="A82" s="253">
        <v>81</v>
      </c>
      <c r="B82" s="254" t="s">
        <v>357</v>
      </c>
      <c r="C82" s="255">
        <v>44886</v>
      </c>
      <c r="D82" s="254" t="s">
        <v>358</v>
      </c>
      <c r="E82" s="254" t="s">
        <v>24</v>
      </c>
      <c r="F82" s="254" t="s">
        <v>25</v>
      </c>
      <c r="G82" s="254" t="s">
        <v>359</v>
      </c>
      <c r="H82" s="254"/>
      <c r="I82" s="254" t="s">
        <v>27</v>
      </c>
      <c r="J82" s="254" t="s">
        <v>28</v>
      </c>
      <c r="K82" s="254" t="s">
        <v>132</v>
      </c>
      <c r="L82" s="256" t="s">
        <v>361</v>
      </c>
      <c r="M82" s="257">
        <v>131</v>
      </c>
      <c r="N82" s="257"/>
      <c r="O82" s="257"/>
      <c r="P82" s="257"/>
      <c r="Q82" s="257"/>
      <c r="R82" s="257">
        <v>131</v>
      </c>
      <c r="S82" s="254" t="s">
        <v>31</v>
      </c>
      <c r="T82" s="257"/>
      <c r="U82" s="254"/>
      <c r="V82" s="254"/>
    </row>
    <row r="83" spans="1:22" s="258" customFormat="1" hidden="1">
      <c r="A83" s="253">
        <v>82</v>
      </c>
      <c r="B83" s="254" t="s">
        <v>357</v>
      </c>
      <c r="C83" s="255">
        <v>44886</v>
      </c>
      <c r="D83" s="254" t="s">
        <v>358</v>
      </c>
      <c r="E83" s="254" t="s">
        <v>24</v>
      </c>
      <c r="F83" s="254" t="s">
        <v>25</v>
      </c>
      <c r="G83" s="254" t="s">
        <v>359</v>
      </c>
      <c r="H83" s="254"/>
      <c r="I83" s="254" t="s">
        <v>27</v>
      </c>
      <c r="J83" s="254" t="s">
        <v>28</v>
      </c>
      <c r="K83" s="254" t="s">
        <v>58</v>
      </c>
      <c r="L83" s="256" t="s">
        <v>59</v>
      </c>
      <c r="M83" s="257">
        <v>20</v>
      </c>
      <c r="N83" s="257"/>
      <c r="O83" s="257"/>
      <c r="P83" s="257"/>
      <c r="Q83" s="257"/>
      <c r="R83" s="257">
        <v>20</v>
      </c>
      <c r="S83" s="254" t="s">
        <v>31</v>
      </c>
      <c r="T83" s="257"/>
      <c r="U83" s="254"/>
      <c r="V83" s="254"/>
    </row>
    <row r="84" spans="1:22" s="258" customFormat="1" hidden="1">
      <c r="A84" s="253">
        <v>83</v>
      </c>
      <c r="B84" s="254" t="s">
        <v>357</v>
      </c>
      <c r="C84" s="255">
        <v>44886</v>
      </c>
      <c r="D84" s="254" t="s">
        <v>358</v>
      </c>
      <c r="E84" s="254" t="s">
        <v>24</v>
      </c>
      <c r="F84" s="254" t="s">
        <v>25</v>
      </c>
      <c r="G84" s="254" t="s">
        <v>359</v>
      </c>
      <c r="H84" s="254"/>
      <c r="I84" s="254" t="s">
        <v>27</v>
      </c>
      <c r="J84" s="254" t="s">
        <v>28</v>
      </c>
      <c r="K84" s="254" t="s">
        <v>162</v>
      </c>
      <c r="L84" s="256" t="s">
        <v>362</v>
      </c>
      <c r="M84" s="257">
        <v>10</v>
      </c>
      <c r="N84" s="257"/>
      <c r="O84" s="257"/>
      <c r="P84" s="257"/>
      <c r="Q84" s="257"/>
      <c r="R84" s="257">
        <v>10</v>
      </c>
      <c r="S84" s="254" t="s">
        <v>31</v>
      </c>
      <c r="T84" s="257"/>
      <c r="U84" s="254"/>
      <c r="V84" s="254"/>
    </row>
    <row r="85" spans="1:22" s="258" customFormat="1" hidden="1">
      <c r="A85" s="253">
        <v>84</v>
      </c>
      <c r="B85" s="254" t="s">
        <v>363</v>
      </c>
      <c r="C85" s="255">
        <v>44891</v>
      </c>
      <c r="D85" s="254" t="s">
        <v>364</v>
      </c>
      <c r="E85" s="254" t="s">
        <v>24</v>
      </c>
      <c r="F85" s="254" t="s">
        <v>25</v>
      </c>
      <c r="G85" s="254" t="s">
        <v>365</v>
      </c>
      <c r="H85" s="254"/>
      <c r="I85" s="254" t="s">
        <v>27</v>
      </c>
      <c r="J85" s="254" t="s">
        <v>28</v>
      </c>
      <c r="K85" s="254" t="s">
        <v>148</v>
      </c>
      <c r="L85" s="256" t="s">
        <v>366</v>
      </c>
      <c r="M85" s="257">
        <v>540</v>
      </c>
      <c r="N85" s="257"/>
      <c r="O85" s="257"/>
      <c r="P85" s="257"/>
      <c r="Q85" s="257"/>
      <c r="R85" s="257">
        <v>540</v>
      </c>
      <c r="S85" s="254" t="s">
        <v>31</v>
      </c>
      <c r="T85" s="257"/>
      <c r="U85" s="254"/>
      <c r="V85" s="254"/>
    </row>
    <row r="86" spans="1:22" s="258" customFormat="1" hidden="1">
      <c r="A86" s="253">
        <v>85</v>
      </c>
      <c r="B86" s="254" t="s">
        <v>367</v>
      </c>
      <c r="C86" s="255">
        <v>44891</v>
      </c>
      <c r="D86" s="254" t="s">
        <v>368</v>
      </c>
      <c r="E86" s="254" t="s">
        <v>24</v>
      </c>
      <c r="F86" s="254" t="s">
        <v>25</v>
      </c>
      <c r="G86" s="254" t="s">
        <v>369</v>
      </c>
      <c r="H86" s="254"/>
      <c r="I86" s="254" t="s">
        <v>27</v>
      </c>
      <c r="J86" s="254" t="s">
        <v>28</v>
      </c>
      <c r="K86" s="254" t="s">
        <v>58</v>
      </c>
      <c r="L86" s="256" t="s">
        <v>59</v>
      </c>
      <c r="M86" s="257">
        <v>84</v>
      </c>
      <c r="N86" s="257"/>
      <c r="O86" s="257"/>
      <c r="P86" s="257"/>
      <c r="Q86" s="257"/>
      <c r="R86" s="257">
        <v>84</v>
      </c>
      <c r="S86" s="254" t="s">
        <v>31</v>
      </c>
      <c r="T86" s="257"/>
      <c r="U86" s="254"/>
      <c r="V86" s="254"/>
    </row>
    <row r="87" spans="1:22" s="258" customFormat="1" hidden="1">
      <c r="A87" s="253">
        <v>86</v>
      </c>
      <c r="B87" s="254" t="s">
        <v>367</v>
      </c>
      <c r="C87" s="255">
        <v>44891</v>
      </c>
      <c r="D87" s="254" t="s">
        <v>368</v>
      </c>
      <c r="E87" s="254" t="s">
        <v>24</v>
      </c>
      <c r="F87" s="254" t="s">
        <v>25</v>
      </c>
      <c r="G87" s="254" t="s">
        <v>369</v>
      </c>
      <c r="H87" s="254"/>
      <c r="I87" s="254" t="s">
        <v>89</v>
      </c>
      <c r="J87" s="254" t="s">
        <v>90</v>
      </c>
      <c r="K87" s="254" t="s">
        <v>91</v>
      </c>
      <c r="L87" s="256" t="s">
        <v>238</v>
      </c>
      <c r="M87" s="257">
        <v>3090</v>
      </c>
      <c r="N87" s="257"/>
      <c r="O87" s="257"/>
      <c r="P87" s="257"/>
      <c r="Q87" s="257"/>
      <c r="R87" s="257">
        <v>3090</v>
      </c>
      <c r="S87" s="254" t="s">
        <v>95</v>
      </c>
      <c r="T87" s="257"/>
      <c r="U87" s="254"/>
      <c r="V87" s="254"/>
    </row>
    <row r="88" spans="1:22" s="258" customFormat="1" hidden="1">
      <c r="A88" s="253">
        <v>87</v>
      </c>
      <c r="B88" s="254" t="s">
        <v>367</v>
      </c>
      <c r="C88" s="255">
        <v>44891</v>
      </c>
      <c r="D88" s="254" t="s">
        <v>368</v>
      </c>
      <c r="E88" s="254" t="s">
        <v>24</v>
      </c>
      <c r="F88" s="254" t="s">
        <v>25</v>
      </c>
      <c r="G88" s="254" t="s">
        <v>369</v>
      </c>
      <c r="H88" s="254"/>
      <c r="I88" s="254" t="s">
        <v>89</v>
      </c>
      <c r="J88" s="254" t="s">
        <v>90</v>
      </c>
      <c r="K88" s="254" t="s">
        <v>91</v>
      </c>
      <c r="L88" s="256" t="s">
        <v>370</v>
      </c>
      <c r="M88" s="257">
        <v>66900</v>
      </c>
      <c r="N88" s="257"/>
      <c r="O88" s="257"/>
      <c r="P88" s="257"/>
      <c r="Q88" s="257"/>
      <c r="R88" s="257">
        <v>66900</v>
      </c>
      <c r="S88" s="254" t="s">
        <v>95</v>
      </c>
      <c r="T88" s="257"/>
      <c r="U88" s="254"/>
      <c r="V88" s="254"/>
    </row>
    <row r="89" spans="1:22" s="258" customFormat="1" hidden="1">
      <c r="A89" s="253">
        <v>88</v>
      </c>
      <c r="B89" s="254" t="s">
        <v>371</v>
      </c>
      <c r="C89" s="255">
        <v>44895</v>
      </c>
      <c r="D89" s="254" t="s">
        <v>372</v>
      </c>
      <c r="E89" s="254" t="s">
        <v>24</v>
      </c>
      <c r="F89" s="254" t="s">
        <v>25</v>
      </c>
      <c r="G89" s="254" t="s">
        <v>373</v>
      </c>
      <c r="H89" s="254"/>
      <c r="I89" s="254" t="s">
        <v>27</v>
      </c>
      <c r="J89" s="254" t="s">
        <v>28</v>
      </c>
      <c r="K89" s="254" t="s">
        <v>41</v>
      </c>
      <c r="L89" s="256" t="s">
        <v>42</v>
      </c>
      <c r="M89" s="257">
        <v>252</v>
      </c>
      <c r="N89" s="257"/>
      <c r="O89" s="257"/>
      <c r="P89" s="257"/>
      <c r="Q89" s="257"/>
      <c r="R89" s="257">
        <v>252</v>
      </c>
      <c r="S89" s="254" t="s">
        <v>31</v>
      </c>
      <c r="T89" s="257"/>
      <c r="U89" s="254"/>
      <c r="V89" s="254"/>
    </row>
    <row r="90" spans="1:22" s="258" customFormat="1" hidden="1">
      <c r="A90" s="253">
        <v>89</v>
      </c>
      <c r="B90" s="254" t="s">
        <v>371</v>
      </c>
      <c r="C90" s="255">
        <v>44895</v>
      </c>
      <c r="D90" s="254" t="s">
        <v>372</v>
      </c>
      <c r="E90" s="254" t="s">
        <v>24</v>
      </c>
      <c r="F90" s="254" t="s">
        <v>25</v>
      </c>
      <c r="G90" s="254" t="s">
        <v>373</v>
      </c>
      <c r="H90" s="254"/>
      <c r="I90" s="254" t="s">
        <v>27</v>
      </c>
      <c r="J90" s="254" t="s">
        <v>28</v>
      </c>
      <c r="K90" s="254" t="s">
        <v>148</v>
      </c>
      <c r="L90" s="256" t="s">
        <v>366</v>
      </c>
      <c r="M90" s="257">
        <v>381</v>
      </c>
      <c r="N90" s="257"/>
      <c r="O90" s="257"/>
      <c r="P90" s="257"/>
      <c r="Q90" s="257"/>
      <c r="R90" s="257">
        <v>381</v>
      </c>
      <c r="S90" s="254" t="s">
        <v>31</v>
      </c>
      <c r="T90" s="257"/>
      <c r="U90" s="254"/>
      <c r="V90" s="254"/>
    </row>
    <row r="91" spans="1:22" s="258" customFormat="1" hidden="1">
      <c r="A91" s="253">
        <v>90</v>
      </c>
      <c r="B91" s="254" t="s">
        <v>374</v>
      </c>
      <c r="C91" s="255">
        <v>44895</v>
      </c>
      <c r="D91" s="254" t="s">
        <v>375</v>
      </c>
      <c r="E91" s="254" t="s">
        <v>24</v>
      </c>
      <c r="F91" s="254" t="s">
        <v>25</v>
      </c>
      <c r="G91" s="254" t="s">
        <v>376</v>
      </c>
      <c r="H91" s="254"/>
      <c r="I91" s="254" t="s">
        <v>27</v>
      </c>
      <c r="J91" s="254" t="s">
        <v>28</v>
      </c>
      <c r="K91" s="254" t="s">
        <v>41</v>
      </c>
      <c r="L91" s="256" t="s">
        <v>42</v>
      </c>
      <c r="M91" s="257">
        <v>216</v>
      </c>
      <c r="N91" s="257"/>
      <c r="O91" s="257"/>
      <c r="P91" s="257"/>
      <c r="Q91" s="257"/>
      <c r="R91" s="257">
        <v>216</v>
      </c>
      <c r="S91" s="254" t="s">
        <v>31</v>
      </c>
      <c r="T91" s="257"/>
      <c r="U91" s="254"/>
      <c r="V91" s="254"/>
    </row>
    <row r="92" spans="1:22" s="258" customFormat="1" hidden="1">
      <c r="A92" s="253">
        <v>91</v>
      </c>
      <c r="B92" s="254" t="s">
        <v>374</v>
      </c>
      <c r="C92" s="255">
        <v>44895</v>
      </c>
      <c r="D92" s="254" t="s">
        <v>375</v>
      </c>
      <c r="E92" s="254" t="s">
        <v>24</v>
      </c>
      <c r="F92" s="254" t="s">
        <v>25</v>
      </c>
      <c r="G92" s="254" t="s">
        <v>376</v>
      </c>
      <c r="H92" s="254"/>
      <c r="I92" s="254" t="s">
        <v>27</v>
      </c>
      <c r="J92" s="254" t="s">
        <v>28</v>
      </c>
      <c r="K92" s="254" t="s">
        <v>137</v>
      </c>
      <c r="L92" s="256" t="s">
        <v>377</v>
      </c>
      <c r="M92" s="257">
        <v>636</v>
      </c>
      <c r="N92" s="257"/>
      <c r="O92" s="257"/>
      <c r="P92" s="257"/>
      <c r="Q92" s="257"/>
      <c r="R92" s="257">
        <v>636</v>
      </c>
      <c r="S92" s="254" t="s">
        <v>31</v>
      </c>
      <c r="T92" s="257"/>
      <c r="U92" s="254"/>
      <c r="V92" s="254"/>
    </row>
    <row r="93" spans="1:22" s="258" customFormat="1" hidden="1">
      <c r="A93" s="253">
        <v>92</v>
      </c>
      <c r="B93" s="254" t="s">
        <v>374</v>
      </c>
      <c r="C93" s="255">
        <v>44895</v>
      </c>
      <c r="D93" s="254" t="s">
        <v>375</v>
      </c>
      <c r="E93" s="254" t="s">
        <v>24</v>
      </c>
      <c r="F93" s="254" t="s">
        <v>25</v>
      </c>
      <c r="G93" s="254" t="s">
        <v>376</v>
      </c>
      <c r="H93" s="254"/>
      <c r="I93" s="254" t="s">
        <v>27</v>
      </c>
      <c r="J93" s="254" t="s">
        <v>28</v>
      </c>
      <c r="K93" s="254" t="s">
        <v>146</v>
      </c>
      <c r="L93" s="256" t="s">
        <v>356</v>
      </c>
      <c r="M93" s="257">
        <v>19</v>
      </c>
      <c r="N93" s="257"/>
      <c r="O93" s="257"/>
      <c r="P93" s="257"/>
      <c r="Q93" s="257"/>
      <c r="R93" s="257">
        <v>19</v>
      </c>
      <c r="S93" s="254" t="s">
        <v>31</v>
      </c>
      <c r="T93" s="257"/>
      <c r="U93" s="254"/>
      <c r="V93" s="254"/>
    </row>
    <row r="94" spans="1:22" s="258" customFormat="1" hidden="1">
      <c r="A94" s="253">
        <v>93</v>
      </c>
      <c r="B94" s="254" t="s">
        <v>374</v>
      </c>
      <c r="C94" s="255">
        <v>44895</v>
      </c>
      <c r="D94" s="254" t="s">
        <v>375</v>
      </c>
      <c r="E94" s="254" t="s">
        <v>24</v>
      </c>
      <c r="F94" s="254" t="s">
        <v>25</v>
      </c>
      <c r="G94" s="254" t="s">
        <v>376</v>
      </c>
      <c r="H94" s="254"/>
      <c r="I94" s="254" t="s">
        <v>27</v>
      </c>
      <c r="J94" s="254" t="s">
        <v>28</v>
      </c>
      <c r="K94" s="254" t="s">
        <v>58</v>
      </c>
      <c r="L94" s="256" t="s">
        <v>59</v>
      </c>
      <c r="M94" s="257">
        <v>34.5</v>
      </c>
      <c r="N94" s="257"/>
      <c r="O94" s="257"/>
      <c r="P94" s="257"/>
      <c r="Q94" s="257"/>
      <c r="R94" s="257">
        <v>34.5</v>
      </c>
      <c r="S94" s="254" t="s">
        <v>31</v>
      </c>
      <c r="T94" s="257"/>
      <c r="U94" s="254"/>
      <c r="V94" s="254"/>
    </row>
    <row r="95" spans="1:22" s="264" customFormat="1" hidden="1">
      <c r="A95" s="259">
        <v>94</v>
      </c>
      <c r="B95" s="260" t="s">
        <v>378</v>
      </c>
      <c r="C95" s="261">
        <v>44905</v>
      </c>
      <c r="D95" s="260" t="s">
        <v>379</v>
      </c>
      <c r="E95" s="260" t="s">
        <v>24</v>
      </c>
      <c r="F95" s="260" t="s">
        <v>25</v>
      </c>
      <c r="G95" s="260" t="s">
        <v>380</v>
      </c>
      <c r="H95" s="260"/>
      <c r="I95" s="260" t="s">
        <v>27</v>
      </c>
      <c r="J95" s="260" t="s">
        <v>28</v>
      </c>
      <c r="K95" s="1" t="s">
        <v>155</v>
      </c>
      <c r="L95" s="262" t="s">
        <v>381</v>
      </c>
      <c r="M95" s="263">
        <v>354</v>
      </c>
      <c r="N95" s="263"/>
      <c r="O95" s="263"/>
      <c r="P95" s="263"/>
      <c r="Q95" s="263"/>
      <c r="R95" s="263">
        <v>354</v>
      </c>
      <c r="S95" s="260" t="s">
        <v>31</v>
      </c>
      <c r="T95" s="263"/>
      <c r="U95" s="260"/>
      <c r="V95" s="260" t="s">
        <v>382</v>
      </c>
    </row>
    <row r="96" spans="1:22" s="264" customFormat="1" hidden="1">
      <c r="A96" s="259">
        <v>95</v>
      </c>
      <c r="B96" s="260" t="s">
        <v>383</v>
      </c>
      <c r="C96" s="261">
        <v>44908</v>
      </c>
      <c r="D96" s="260" t="s">
        <v>384</v>
      </c>
      <c r="E96" s="260" t="s">
        <v>24</v>
      </c>
      <c r="F96" s="260" t="s">
        <v>25</v>
      </c>
      <c r="G96" s="260" t="s">
        <v>385</v>
      </c>
      <c r="H96" s="260"/>
      <c r="I96" s="260" t="s">
        <v>27</v>
      </c>
      <c r="J96" s="260" t="s">
        <v>28</v>
      </c>
      <c r="K96" s="1" t="s">
        <v>155</v>
      </c>
      <c r="L96" s="262" t="s">
        <v>381</v>
      </c>
      <c r="M96" s="263">
        <v>285</v>
      </c>
      <c r="N96" s="263"/>
      <c r="O96" s="263"/>
      <c r="P96" s="263"/>
      <c r="Q96" s="263"/>
      <c r="R96" s="263">
        <v>285</v>
      </c>
      <c r="S96" s="260" t="s">
        <v>31</v>
      </c>
      <c r="T96" s="263"/>
      <c r="U96" s="260"/>
      <c r="V96" s="260"/>
    </row>
    <row r="97" spans="1:22" s="264" customFormat="1" hidden="1">
      <c r="A97" s="259">
        <v>96</v>
      </c>
      <c r="B97" s="260" t="s">
        <v>383</v>
      </c>
      <c r="C97" s="261">
        <v>44908</v>
      </c>
      <c r="D97" s="260" t="s">
        <v>384</v>
      </c>
      <c r="E97" s="260" t="s">
        <v>24</v>
      </c>
      <c r="F97" s="260" t="s">
        <v>25</v>
      </c>
      <c r="G97" s="260" t="s">
        <v>385</v>
      </c>
      <c r="H97" s="260"/>
      <c r="I97" s="260" t="s">
        <v>27</v>
      </c>
      <c r="J97" s="260" t="s">
        <v>28</v>
      </c>
      <c r="K97" s="1" t="s">
        <v>41</v>
      </c>
      <c r="L97" s="262" t="s">
        <v>42</v>
      </c>
      <c r="M97" s="263">
        <v>117</v>
      </c>
      <c r="N97" s="263"/>
      <c r="O97" s="263"/>
      <c r="P97" s="263"/>
      <c r="Q97" s="263"/>
      <c r="R97" s="263">
        <v>117</v>
      </c>
      <c r="S97" s="260" t="s">
        <v>31</v>
      </c>
      <c r="T97" s="263"/>
      <c r="U97" s="260"/>
      <c r="V97" s="260"/>
    </row>
    <row r="98" spans="1:22" s="264" customFormat="1" hidden="1">
      <c r="A98" s="259">
        <v>97</v>
      </c>
      <c r="B98" s="260" t="s">
        <v>386</v>
      </c>
      <c r="C98" s="261">
        <v>44909</v>
      </c>
      <c r="D98" s="260" t="s">
        <v>387</v>
      </c>
      <c r="E98" s="260" t="s">
        <v>24</v>
      </c>
      <c r="F98" s="260" t="s">
        <v>25</v>
      </c>
      <c r="G98" s="260" t="s">
        <v>388</v>
      </c>
      <c r="H98" s="260"/>
      <c r="I98" s="260" t="s">
        <v>27</v>
      </c>
      <c r="J98" s="260" t="s">
        <v>28</v>
      </c>
      <c r="K98" s="1" t="s">
        <v>167</v>
      </c>
      <c r="L98" s="262" t="s">
        <v>389</v>
      </c>
      <c r="M98" s="263">
        <v>160</v>
      </c>
      <c r="N98" s="263"/>
      <c r="O98" s="263"/>
      <c r="P98" s="263"/>
      <c r="Q98" s="263"/>
      <c r="R98" s="263">
        <v>160</v>
      </c>
      <c r="S98" s="260" t="s">
        <v>31</v>
      </c>
      <c r="T98" s="263"/>
      <c r="U98" s="260"/>
      <c r="V98" s="260"/>
    </row>
    <row r="99" spans="1:22" s="264" customFormat="1" hidden="1">
      <c r="A99" s="259">
        <v>98</v>
      </c>
      <c r="B99" s="260" t="s">
        <v>390</v>
      </c>
      <c r="C99" s="261">
        <v>44915</v>
      </c>
      <c r="D99" s="260" t="s">
        <v>391</v>
      </c>
      <c r="E99" s="260" t="s">
        <v>24</v>
      </c>
      <c r="F99" s="260" t="s">
        <v>25</v>
      </c>
      <c r="G99" s="260" t="s">
        <v>392</v>
      </c>
      <c r="H99" s="260"/>
      <c r="I99" s="260" t="s">
        <v>27</v>
      </c>
      <c r="J99" s="260" t="s">
        <v>28</v>
      </c>
      <c r="K99" s="1" t="s">
        <v>127</v>
      </c>
      <c r="L99" s="262" t="s">
        <v>393</v>
      </c>
      <c r="M99" s="263">
        <v>323.5</v>
      </c>
      <c r="N99" s="263"/>
      <c r="O99" s="263"/>
      <c r="P99" s="263"/>
      <c r="Q99" s="263"/>
      <c r="R99" s="263">
        <v>323.5</v>
      </c>
      <c r="S99" s="260" t="s">
        <v>31</v>
      </c>
      <c r="T99" s="263"/>
      <c r="U99" s="260"/>
      <c r="V99" s="260"/>
    </row>
    <row r="100" spans="1:22" s="264" customFormat="1" hidden="1">
      <c r="A100" s="259">
        <v>99</v>
      </c>
      <c r="B100" s="260" t="s">
        <v>390</v>
      </c>
      <c r="C100" s="261">
        <v>44915</v>
      </c>
      <c r="D100" s="260" t="s">
        <v>391</v>
      </c>
      <c r="E100" s="260" t="s">
        <v>24</v>
      </c>
      <c r="F100" s="260" t="s">
        <v>25</v>
      </c>
      <c r="G100" s="260" t="s">
        <v>392</v>
      </c>
      <c r="H100" s="260"/>
      <c r="I100" s="260" t="s">
        <v>27</v>
      </c>
      <c r="J100" s="260" t="s">
        <v>28</v>
      </c>
      <c r="K100" s="1" t="s">
        <v>137</v>
      </c>
      <c r="L100" s="262" t="s">
        <v>377</v>
      </c>
      <c r="M100" s="263">
        <v>320</v>
      </c>
      <c r="N100" s="263"/>
      <c r="O100" s="263"/>
      <c r="P100" s="263"/>
      <c r="Q100" s="263"/>
      <c r="R100" s="263">
        <v>320</v>
      </c>
      <c r="S100" s="260" t="s">
        <v>31</v>
      </c>
      <c r="T100" s="263"/>
      <c r="U100" s="260"/>
      <c r="V100" s="260"/>
    </row>
    <row r="101" spans="1:22" s="264" customFormat="1" hidden="1">
      <c r="A101" s="259">
        <v>100</v>
      </c>
      <c r="B101" s="260" t="s">
        <v>390</v>
      </c>
      <c r="C101" s="261">
        <v>44915</v>
      </c>
      <c r="D101" s="260" t="s">
        <v>391</v>
      </c>
      <c r="E101" s="260" t="s">
        <v>24</v>
      </c>
      <c r="F101" s="260" t="s">
        <v>25</v>
      </c>
      <c r="G101" s="260" t="s">
        <v>392</v>
      </c>
      <c r="H101" s="260"/>
      <c r="I101" s="260" t="s">
        <v>27</v>
      </c>
      <c r="J101" s="260" t="s">
        <v>28</v>
      </c>
      <c r="K101" s="1" t="s">
        <v>155</v>
      </c>
      <c r="L101" s="262" t="s">
        <v>381</v>
      </c>
      <c r="M101" s="263">
        <v>139.5</v>
      </c>
      <c r="N101" s="263"/>
      <c r="O101" s="263"/>
      <c r="P101" s="263"/>
      <c r="Q101" s="263"/>
      <c r="R101" s="263">
        <v>139.5</v>
      </c>
      <c r="S101" s="260" t="s">
        <v>31</v>
      </c>
      <c r="T101" s="263"/>
      <c r="U101" s="260"/>
      <c r="V101" s="260"/>
    </row>
    <row r="102" spans="1:22" s="264" customFormat="1" hidden="1">
      <c r="A102" s="259">
        <v>101</v>
      </c>
      <c r="B102" s="260" t="s">
        <v>394</v>
      </c>
      <c r="C102" s="261">
        <v>44915</v>
      </c>
      <c r="D102" s="260" t="s">
        <v>395</v>
      </c>
      <c r="E102" s="260" t="s">
        <v>24</v>
      </c>
      <c r="F102" s="260" t="s">
        <v>25</v>
      </c>
      <c r="G102" s="260" t="s">
        <v>396</v>
      </c>
      <c r="H102" s="260"/>
      <c r="I102" s="260" t="s">
        <v>27</v>
      </c>
      <c r="J102" s="260" t="s">
        <v>28</v>
      </c>
      <c r="K102" s="1" t="s">
        <v>58</v>
      </c>
      <c r="L102" s="262" t="s">
        <v>59</v>
      </c>
      <c r="M102" s="263">
        <v>143</v>
      </c>
      <c r="N102" s="263"/>
      <c r="O102" s="263"/>
      <c r="P102" s="263"/>
      <c r="Q102" s="263"/>
      <c r="R102" s="263">
        <v>143</v>
      </c>
      <c r="S102" s="260" t="s">
        <v>31</v>
      </c>
      <c r="T102" s="263"/>
      <c r="U102" s="260"/>
      <c r="V102" s="260"/>
    </row>
    <row r="103" spans="1:22" s="264" customFormat="1" hidden="1">
      <c r="A103" s="259">
        <v>102</v>
      </c>
      <c r="B103" s="260" t="s">
        <v>397</v>
      </c>
      <c r="C103" s="261">
        <v>44915</v>
      </c>
      <c r="D103" s="260" t="s">
        <v>398</v>
      </c>
      <c r="E103" s="260" t="s">
        <v>24</v>
      </c>
      <c r="F103" s="260" t="s">
        <v>25</v>
      </c>
      <c r="G103" s="260" t="s">
        <v>399</v>
      </c>
      <c r="H103" s="260"/>
      <c r="I103" s="260" t="s">
        <v>27</v>
      </c>
      <c r="J103" s="260" t="s">
        <v>28</v>
      </c>
      <c r="K103" s="1" t="s">
        <v>111</v>
      </c>
      <c r="L103" s="262" t="s">
        <v>112</v>
      </c>
      <c r="M103" s="263">
        <v>112</v>
      </c>
      <c r="N103" s="263"/>
      <c r="O103" s="263"/>
      <c r="P103" s="263"/>
      <c r="Q103" s="263"/>
      <c r="R103" s="263">
        <v>112</v>
      </c>
      <c r="S103" s="260" t="s">
        <v>31</v>
      </c>
      <c r="T103" s="263"/>
      <c r="U103" s="260"/>
      <c r="V103" s="260"/>
    </row>
    <row r="104" spans="1:22" s="264" customFormat="1" hidden="1">
      <c r="A104" s="259">
        <v>103</v>
      </c>
      <c r="B104" s="260" t="s">
        <v>397</v>
      </c>
      <c r="C104" s="261">
        <v>44915</v>
      </c>
      <c r="D104" s="260" t="s">
        <v>398</v>
      </c>
      <c r="E104" s="260" t="s">
        <v>24</v>
      </c>
      <c r="F104" s="260" t="s">
        <v>25</v>
      </c>
      <c r="G104" s="260" t="s">
        <v>399</v>
      </c>
      <c r="H104" s="260"/>
      <c r="I104" s="260" t="s">
        <v>27</v>
      </c>
      <c r="J104" s="260" t="s">
        <v>28</v>
      </c>
      <c r="K104" s="1" t="s">
        <v>148</v>
      </c>
      <c r="L104" s="262" t="s">
        <v>366</v>
      </c>
      <c r="M104" s="263">
        <v>99</v>
      </c>
      <c r="N104" s="263"/>
      <c r="O104" s="263"/>
      <c r="P104" s="263"/>
      <c r="Q104" s="263"/>
      <c r="R104" s="263">
        <v>99</v>
      </c>
      <c r="S104" s="260" t="s">
        <v>31</v>
      </c>
      <c r="T104" s="263"/>
      <c r="U104" s="260"/>
      <c r="V104" s="260"/>
    </row>
    <row r="105" spans="1:22" s="264" customFormat="1" hidden="1">
      <c r="A105" s="259">
        <v>104</v>
      </c>
      <c r="B105" s="260" t="s">
        <v>397</v>
      </c>
      <c r="C105" s="261">
        <v>44915</v>
      </c>
      <c r="D105" s="260" t="s">
        <v>398</v>
      </c>
      <c r="E105" s="260" t="s">
        <v>24</v>
      </c>
      <c r="F105" s="260" t="s">
        <v>25</v>
      </c>
      <c r="G105" s="260" t="s">
        <v>399</v>
      </c>
      <c r="H105" s="260"/>
      <c r="I105" s="260" t="s">
        <v>27</v>
      </c>
      <c r="J105" s="260" t="s">
        <v>28</v>
      </c>
      <c r="K105" s="1" t="s">
        <v>155</v>
      </c>
      <c r="L105" s="262" t="s">
        <v>381</v>
      </c>
      <c r="M105" s="263">
        <v>220.5</v>
      </c>
      <c r="N105" s="263"/>
      <c r="O105" s="263"/>
      <c r="P105" s="263"/>
      <c r="Q105" s="263"/>
      <c r="R105" s="263">
        <v>220.5</v>
      </c>
      <c r="S105" s="260" t="s">
        <v>31</v>
      </c>
      <c r="T105" s="263"/>
      <c r="U105" s="260"/>
      <c r="V105" s="260"/>
    </row>
    <row r="106" spans="1:22" s="264" customFormat="1" hidden="1">
      <c r="A106" s="259">
        <v>105</v>
      </c>
      <c r="B106" s="260" t="s">
        <v>400</v>
      </c>
      <c r="C106" s="261">
        <v>44922</v>
      </c>
      <c r="D106" s="260" t="s">
        <v>401</v>
      </c>
      <c r="E106" s="260" t="s">
        <v>24</v>
      </c>
      <c r="F106" s="260" t="s">
        <v>25</v>
      </c>
      <c r="G106" s="260" t="s">
        <v>402</v>
      </c>
      <c r="H106" s="260"/>
      <c r="I106" s="260" t="s">
        <v>27</v>
      </c>
      <c r="J106" s="260" t="s">
        <v>28</v>
      </c>
      <c r="K106" s="1" t="s">
        <v>130</v>
      </c>
      <c r="L106" s="262" t="s">
        <v>403</v>
      </c>
      <c r="M106" s="263">
        <v>516</v>
      </c>
      <c r="N106" s="263"/>
      <c r="O106" s="263"/>
      <c r="P106" s="263"/>
      <c r="Q106" s="263"/>
      <c r="R106" s="263">
        <v>516</v>
      </c>
      <c r="S106" s="260" t="s">
        <v>31</v>
      </c>
      <c r="T106" s="263"/>
      <c r="U106" s="260"/>
      <c r="V106" s="260"/>
    </row>
    <row r="107" spans="1:22" s="264" customFormat="1" hidden="1">
      <c r="A107" s="259">
        <v>106</v>
      </c>
      <c r="B107" s="260" t="s">
        <v>400</v>
      </c>
      <c r="C107" s="261">
        <v>44922</v>
      </c>
      <c r="D107" s="260" t="s">
        <v>401</v>
      </c>
      <c r="E107" s="260" t="s">
        <v>24</v>
      </c>
      <c r="F107" s="260" t="s">
        <v>25</v>
      </c>
      <c r="G107" s="260" t="s">
        <v>402</v>
      </c>
      <c r="H107" s="260"/>
      <c r="I107" s="260" t="s">
        <v>27</v>
      </c>
      <c r="J107" s="260" t="s">
        <v>28</v>
      </c>
      <c r="K107" s="1" t="s">
        <v>111</v>
      </c>
      <c r="L107" s="262" t="s">
        <v>112</v>
      </c>
      <c r="M107" s="263">
        <v>216</v>
      </c>
      <c r="N107" s="263"/>
      <c r="O107" s="263"/>
      <c r="P107" s="263"/>
      <c r="Q107" s="263"/>
      <c r="R107" s="263">
        <v>216</v>
      </c>
      <c r="S107" s="260" t="s">
        <v>31</v>
      </c>
      <c r="T107" s="263"/>
      <c r="U107" s="260"/>
      <c r="V107" s="260"/>
    </row>
    <row r="108" spans="1:22" s="264" customFormat="1" hidden="1">
      <c r="A108" s="259">
        <v>107</v>
      </c>
      <c r="B108" s="260" t="s">
        <v>400</v>
      </c>
      <c r="C108" s="261">
        <v>44922</v>
      </c>
      <c r="D108" s="260" t="s">
        <v>401</v>
      </c>
      <c r="E108" s="260" t="s">
        <v>24</v>
      </c>
      <c r="F108" s="260" t="s">
        <v>25</v>
      </c>
      <c r="G108" s="260" t="s">
        <v>402</v>
      </c>
      <c r="H108" s="260"/>
      <c r="I108" s="260" t="s">
        <v>27</v>
      </c>
      <c r="J108" s="260" t="s">
        <v>28</v>
      </c>
      <c r="K108" s="1" t="s">
        <v>155</v>
      </c>
      <c r="L108" s="262" t="s">
        <v>381</v>
      </c>
      <c r="M108" s="263">
        <v>102</v>
      </c>
      <c r="N108" s="263"/>
      <c r="O108" s="263"/>
      <c r="P108" s="263"/>
      <c r="Q108" s="263"/>
      <c r="R108" s="263">
        <v>102</v>
      </c>
      <c r="S108" s="260" t="s">
        <v>31</v>
      </c>
      <c r="T108" s="263"/>
      <c r="U108" s="260"/>
      <c r="V108" s="260"/>
    </row>
    <row r="109" spans="1:22" s="264" customFormat="1" hidden="1">
      <c r="A109" s="259">
        <v>108</v>
      </c>
      <c r="B109" s="260" t="s">
        <v>400</v>
      </c>
      <c r="C109" s="261">
        <v>44922</v>
      </c>
      <c r="D109" s="260" t="s">
        <v>401</v>
      </c>
      <c r="E109" s="260" t="s">
        <v>24</v>
      </c>
      <c r="F109" s="260" t="s">
        <v>25</v>
      </c>
      <c r="G109" s="260" t="s">
        <v>402</v>
      </c>
      <c r="H109" s="260"/>
      <c r="I109" s="260" t="s">
        <v>27</v>
      </c>
      <c r="J109" s="260" t="s">
        <v>28</v>
      </c>
      <c r="K109" s="1" t="s">
        <v>118</v>
      </c>
      <c r="L109" s="262" t="s">
        <v>404</v>
      </c>
      <c r="M109" s="263">
        <v>277.5</v>
      </c>
      <c r="N109" s="263"/>
      <c r="O109" s="263"/>
      <c r="P109" s="263"/>
      <c r="Q109" s="263"/>
      <c r="R109" s="263">
        <v>277.5</v>
      </c>
      <c r="S109" s="260" t="s">
        <v>31</v>
      </c>
      <c r="T109" s="263"/>
      <c r="U109" s="260"/>
      <c r="V109" s="260"/>
    </row>
    <row r="110" spans="1:22" s="264" customFormat="1" hidden="1">
      <c r="A110" s="259">
        <v>109</v>
      </c>
      <c r="B110" s="260" t="s">
        <v>405</v>
      </c>
      <c r="C110" s="261">
        <v>44922</v>
      </c>
      <c r="D110" s="260" t="s">
        <v>406</v>
      </c>
      <c r="E110" s="260" t="s">
        <v>24</v>
      </c>
      <c r="F110" s="260" t="s">
        <v>25</v>
      </c>
      <c r="G110" s="260" t="s">
        <v>407</v>
      </c>
      <c r="H110" s="260"/>
      <c r="I110" s="260" t="s">
        <v>27</v>
      </c>
      <c r="J110" s="260" t="s">
        <v>28</v>
      </c>
      <c r="K110" s="1" t="s">
        <v>155</v>
      </c>
      <c r="L110" s="262" t="s">
        <v>381</v>
      </c>
      <c r="M110" s="263">
        <v>139.5</v>
      </c>
      <c r="N110" s="263"/>
      <c r="O110" s="263"/>
      <c r="P110" s="263"/>
      <c r="Q110" s="263"/>
      <c r="R110" s="263">
        <v>139.5</v>
      </c>
      <c r="S110" s="260" t="s">
        <v>31</v>
      </c>
      <c r="T110" s="263"/>
      <c r="U110" s="260"/>
      <c r="V110" s="260"/>
    </row>
    <row r="111" spans="1:22" s="264" customFormat="1" hidden="1">
      <c r="A111" s="259">
        <v>110</v>
      </c>
      <c r="B111" s="260" t="s">
        <v>405</v>
      </c>
      <c r="C111" s="261">
        <v>44922</v>
      </c>
      <c r="D111" s="260" t="s">
        <v>406</v>
      </c>
      <c r="E111" s="260" t="s">
        <v>24</v>
      </c>
      <c r="F111" s="260" t="s">
        <v>25</v>
      </c>
      <c r="G111" s="260" t="s">
        <v>407</v>
      </c>
      <c r="H111" s="260"/>
      <c r="I111" s="260" t="s">
        <v>27</v>
      </c>
      <c r="J111" s="260" t="s">
        <v>28</v>
      </c>
      <c r="K111" s="1" t="s">
        <v>130</v>
      </c>
      <c r="L111" s="262" t="s">
        <v>403</v>
      </c>
      <c r="M111" s="263">
        <v>540</v>
      </c>
      <c r="N111" s="263"/>
      <c r="O111" s="263"/>
      <c r="P111" s="263"/>
      <c r="Q111" s="263"/>
      <c r="R111" s="263">
        <v>540</v>
      </c>
      <c r="S111" s="260" t="s">
        <v>31</v>
      </c>
      <c r="T111" s="263"/>
      <c r="U111" s="260"/>
      <c r="V111" s="260"/>
    </row>
    <row r="112" spans="1:22" s="264" customFormat="1" hidden="1">
      <c r="A112" s="259">
        <v>111</v>
      </c>
      <c r="B112" s="260" t="s">
        <v>405</v>
      </c>
      <c r="C112" s="261">
        <v>44922</v>
      </c>
      <c r="D112" s="260" t="s">
        <v>406</v>
      </c>
      <c r="E112" s="260" t="s">
        <v>24</v>
      </c>
      <c r="F112" s="260" t="s">
        <v>25</v>
      </c>
      <c r="G112" s="260" t="s">
        <v>407</v>
      </c>
      <c r="H112" s="260"/>
      <c r="I112" s="260" t="s">
        <v>27</v>
      </c>
      <c r="J112" s="260" t="s">
        <v>28</v>
      </c>
      <c r="K112" s="1" t="s">
        <v>111</v>
      </c>
      <c r="L112" s="262" t="s">
        <v>112</v>
      </c>
      <c r="M112" s="263">
        <v>171.5</v>
      </c>
      <c r="N112" s="263"/>
      <c r="O112" s="263"/>
      <c r="P112" s="263"/>
      <c r="Q112" s="263"/>
      <c r="R112" s="263">
        <v>171.5</v>
      </c>
      <c r="S112" s="260" t="s">
        <v>31</v>
      </c>
      <c r="T112" s="263"/>
      <c r="U112" s="260"/>
      <c r="V112" s="260"/>
    </row>
    <row r="113" spans="1:22" s="264" customFormat="1" hidden="1">
      <c r="A113" s="259">
        <v>112</v>
      </c>
      <c r="B113" s="260" t="s">
        <v>408</v>
      </c>
      <c r="C113" s="261">
        <v>44930</v>
      </c>
      <c r="D113" s="260" t="s">
        <v>409</v>
      </c>
      <c r="E113" s="260" t="s">
        <v>24</v>
      </c>
      <c r="F113" s="260" t="s">
        <v>25</v>
      </c>
      <c r="G113" s="260" t="s">
        <v>410</v>
      </c>
      <c r="H113" s="260"/>
      <c r="I113" s="260" t="s">
        <v>27</v>
      </c>
      <c r="J113" s="260" t="s">
        <v>28</v>
      </c>
      <c r="K113" s="1" t="s">
        <v>165</v>
      </c>
      <c r="L113" s="262" t="s">
        <v>411</v>
      </c>
      <c r="M113" s="263">
        <v>146</v>
      </c>
      <c r="N113" s="263"/>
      <c r="O113" s="263"/>
      <c r="P113" s="263"/>
      <c r="Q113" s="263"/>
      <c r="R113" s="263">
        <v>146</v>
      </c>
      <c r="S113" s="260" t="s">
        <v>31</v>
      </c>
      <c r="T113" s="263"/>
      <c r="U113" s="260"/>
      <c r="V113" s="260"/>
    </row>
    <row r="114" spans="1:22" s="264" customFormat="1" hidden="1">
      <c r="A114" s="259">
        <v>113</v>
      </c>
      <c r="B114" s="260" t="s">
        <v>408</v>
      </c>
      <c r="C114" s="261">
        <v>44930</v>
      </c>
      <c r="D114" s="260" t="s">
        <v>409</v>
      </c>
      <c r="E114" s="260" t="s">
        <v>24</v>
      </c>
      <c r="F114" s="260" t="s">
        <v>25</v>
      </c>
      <c r="G114" s="260" t="s">
        <v>410</v>
      </c>
      <c r="H114" s="260"/>
      <c r="I114" s="260" t="s">
        <v>27</v>
      </c>
      <c r="J114" s="260" t="s">
        <v>28</v>
      </c>
      <c r="K114" s="1" t="s">
        <v>171</v>
      </c>
      <c r="L114" s="262" t="s">
        <v>412</v>
      </c>
      <c r="M114" s="263">
        <v>40</v>
      </c>
      <c r="N114" s="263"/>
      <c r="O114" s="263"/>
      <c r="P114" s="263"/>
      <c r="Q114" s="263"/>
      <c r="R114" s="263">
        <v>40</v>
      </c>
      <c r="S114" s="260" t="s">
        <v>31</v>
      </c>
      <c r="T114" s="263"/>
      <c r="U114" s="260"/>
      <c r="V114" s="260"/>
    </row>
    <row r="115" spans="1:22" s="264" customFormat="1" hidden="1">
      <c r="A115" s="259">
        <v>114</v>
      </c>
      <c r="B115" s="260" t="s">
        <v>408</v>
      </c>
      <c r="C115" s="261">
        <v>44930</v>
      </c>
      <c r="D115" s="260" t="s">
        <v>409</v>
      </c>
      <c r="E115" s="260" t="s">
        <v>24</v>
      </c>
      <c r="F115" s="260" t="s">
        <v>25</v>
      </c>
      <c r="G115" s="260" t="s">
        <v>410</v>
      </c>
      <c r="H115" s="260"/>
      <c r="I115" s="260" t="s">
        <v>27</v>
      </c>
      <c r="J115" s="260" t="s">
        <v>28</v>
      </c>
      <c r="K115" s="1" t="s">
        <v>173</v>
      </c>
      <c r="L115" s="262" t="s">
        <v>413</v>
      </c>
      <c r="M115" s="263">
        <v>29</v>
      </c>
      <c r="N115" s="263"/>
      <c r="O115" s="263"/>
      <c r="P115" s="263"/>
      <c r="Q115" s="263"/>
      <c r="R115" s="263">
        <v>29</v>
      </c>
      <c r="S115" s="260" t="s">
        <v>31</v>
      </c>
      <c r="T115" s="263"/>
      <c r="U115" s="260"/>
      <c r="V115" s="260"/>
    </row>
    <row r="116" spans="1:22" s="264" customFormat="1" hidden="1">
      <c r="A116" s="259">
        <v>115</v>
      </c>
      <c r="B116" s="260" t="s">
        <v>414</v>
      </c>
      <c r="C116" s="261">
        <v>44930</v>
      </c>
      <c r="D116" s="260" t="s">
        <v>415</v>
      </c>
      <c r="E116" s="260" t="s">
        <v>24</v>
      </c>
      <c r="F116" s="260" t="s">
        <v>25</v>
      </c>
      <c r="G116" s="260" t="s">
        <v>416</v>
      </c>
      <c r="H116" s="260" t="s">
        <v>417</v>
      </c>
      <c r="I116" s="260" t="s">
        <v>27</v>
      </c>
      <c r="J116" s="260" t="s">
        <v>28</v>
      </c>
      <c r="K116" s="1" t="s">
        <v>196</v>
      </c>
      <c r="L116" s="262" t="s">
        <v>341</v>
      </c>
      <c r="M116" s="263">
        <v>211</v>
      </c>
      <c r="N116" s="263"/>
      <c r="O116" s="263"/>
      <c r="P116" s="263"/>
      <c r="Q116" s="263"/>
      <c r="R116" s="263">
        <v>211</v>
      </c>
      <c r="S116" s="260" t="s">
        <v>65</v>
      </c>
      <c r="T116" s="263"/>
      <c r="U116" s="260"/>
      <c r="V116" s="260"/>
    </row>
    <row r="117" spans="1:22" s="264" customFormat="1" hidden="1">
      <c r="A117" s="259">
        <v>116</v>
      </c>
      <c r="B117" s="260" t="s">
        <v>418</v>
      </c>
      <c r="C117" s="261">
        <v>44930</v>
      </c>
      <c r="D117" s="260" t="s">
        <v>419</v>
      </c>
      <c r="E117" s="260" t="s">
        <v>24</v>
      </c>
      <c r="F117" s="260" t="s">
        <v>25</v>
      </c>
      <c r="G117" s="260" t="s">
        <v>420</v>
      </c>
      <c r="H117" s="260"/>
      <c r="I117" s="260" t="s">
        <v>27</v>
      </c>
      <c r="J117" s="260" t="s">
        <v>28</v>
      </c>
      <c r="K117" s="1" t="s">
        <v>165</v>
      </c>
      <c r="L117" s="262" t="s">
        <v>411</v>
      </c>
      <c r="M117" s="263">
        <v>100</v>
      </c>
      <c r="N117" s="263"/>
      <c r="O117" s="263"/>
      <c r="P117" s="263"/>
      <c r="Q117" s="263"/>
      <c r="R117" s="263">
        <v>100</v>
      </c>
      <c r="S117" s="260" t="s">
        <v>31</v>
      </c>
      <c r="T117" s="263"/>
      <c r="U117" s="260"/>
      <c r="V117" s="260"/>
    </row>
    <row r="118" spans="1:22" s="264" customFormat="1" hidden="1">
      <c r="A118" s="259">
        <v>117</v>
      </c>
      <c r="B118" s="260" t="s">
        <v>418</v>
      </c>
      <c r="C118" s="261">
        <v>44930</v>
      </c>
      <c r="D118" s="260" t="s">
        <v>419</v>
      </c>
      <c r="E118" s="260" t="s">
        <v>24</v>
      </c>
      <c r="F118" s="260" t="s">
        <v>25</v>
      </c>
      <c r="G118" s="260" t="s">
        <v>420</v>
      </c>
      <c r="H118" s="260"/>
      <c r="I118" s="260" t="s">
        <v>27</v>
      </c>
      <c r="J118" s="260" t="s">
        <v>28</v>
      </c>
      <c r="K118" s="1" t="s">
        <v>167</v>
      </c>
      <c r="L118" s="262" t="s">
        <v>389</v>
      </c>
      <c r="M118" s="263">
        <v>78</v>
      </c>
      <c r="N118" s="263"/>
      <c r="O118" s="263"/>
      <c r="P118" s="263"/>
      <c r="Q118" s="263"/>
      <c r="R118" s="263">
        <v>78</v>
      </c>
      <c r="S118" s="260" t="s">
        <v>31</v>
      </c>
      <c r="T118" s="263"/>
      <c r="U118" s="260"/>
      <c r="V118" s="260"/>
    </row>
    <row r="119" spans="1:22" s="264" customFormat="1" hidden="1">
      <c r="A119" s="259">
        <v>118</v>
      </c>
      <c r="B119" s="260" t="s">
        <v>418</v>
      </c>
      <c r="C119" s="261">
        <v>44930</v>
      </c>
      <c r="D119" s="260" t="s">
        <v>419</v>
      </c>
      <c r="E119" s="260" t="s">
        <v>24</v>
      </c>
      <c r="F119" s="260" t="s">
        <v>25</v>
      </c>
      <c r="G119" s="260" t="s">
        <v>420</v>
      </c>
      <c r="H119" s="260"/>
      <c r="I119" s="260" t="s">
        <v>27</v>
      </c>
      <c r="J119" s="260" t="s">
        <v>28</v>
      </c>
      <c r="K119" s="1" t="s">
        <v>175</v>
      </c>
      <c r="L119" s="262" t="s">
        <v>314</v>
      </c>
      <c r="M119" s="263">
        <v>37</v>
      </c>
      <c r="N119" s="263"/>
      <c r="O119" s="263"/>
      <c r="P119" s="263"/>
      <c r="Q119" s="263"/>
      <c r="R119" s="263">
        <v>37</v>
      </c>
      <c r="S119" s="260" t="s">
        <v>31</v>
      </c>
      <c r="T119" s="263"/>
      <c r="U119" s="260"/>
      <c r="V119" s="260"/>
    </row>
    <row r="120" spans="1:22" s="264" customFormat="1" hidden="1">
      <c r="A120" s="259">
        <v>119</v>
      </c>
      <c r="B120" s="260" t="s">
        <v>421</v>
      </c>
      <c r="C120" s="261">
        <v>44930</v>
      </c>
      <c r="D120" s="260" t="s">
        <v>422</v>
      </c>
      <c r="E120" s="260" t="s">
        <v>24</v>
      </c>
      <c r="F120" s="260" t="s">
        <v>25</v>
      </c>
      <c r="G120" s="260" t="s">
        <v>423</v>
      </c>
      <c r="H120" s="260"/>
      <c r="I120" s="260" t="s">
        <v>27</v>
      </c>
      <c r="J120" s="260" t="s">
        <v>28</v>
      </c>
      <c r="K120" s="1" t="s">
        <v>130</v>
      </c>
      <c r="L120" s="262" t="s">
        <v>403</v>
      </c>
      <c r="M120" s="263">
        <v>641.5</v>
      </c>
      <c r="N120" s="263"/>
      <c r="O120" s="263"/>
      <c r="P120" s="263"/>
      <c r="Q120" s="263"/>
      <c r="R120" s="263">
        <v>641.5</v>
      </c>
      <c r="S120" s="260" t="s">
        <v>31</v>
      </c>
      <c r="T120" s="263"/>
      <c r="U120" s="260"/>
      <c r="V120" s="260"/>
    </row>
    <row r="121" spans="1:22" s="264" customFormat="1" hidden="1">
      <c r="A121" s="259">
        <v>120</v>
      </c>
      <c r="B121" s="260" t="s">
        <v>421</v>
      </c>
      <c r="C121" s="261">
        <v>44930</v>
      </c>
      <c r="D121" s="260" t="s">
        <v>422</v>
      </c>
      <c r="E121" s="260" t="s">
        <v>24</v>
      </c>
      <c r="F121" s="260" t="s">
        <v>25</v>
      </c>
      <c r="G121" s="260" t="s">
        <v>423</v>
      </c>
      <c r="H121" s="260"/>
      <c r="I121" s="260" t="s">
        <v>27</v>
      </c>
      <c r="J121" s="260" t="s">
        <v>28</v>
      </c>
      <c r="K121" s="1" t="s">
        <v>155</v>
      </c>
      <c r="L121" s="262" t="s">
        <v>381</v>
      </c>
      <c r="M121" s="263">
        <v>189</v>
      </c>
      <c r="N121" s="263"/>
      <c r="O121" s="263"/>
      <c r="P121" s="263"/>
      <c r="Q121" s="263"/>
      <c r="R121" s="263">
        <v>189</v>
      </c>
      <c r="S121" s="260" t="s">
        <v>31</v>
      </c>
      <c r="T121" s="263"/>
      <c r="U121" s="260"/>
      <c r="V121" s="260"/>
    </row>
    <row r="122" spans="1:22" s="264" customFormat="1" hidden="1">
      <c r="A122" s="259">
        <v>121</v>
      </c>
      <c r="B122" s="260" t="s">
        <v>424</v>
      </c>
      <c r="C122" s="261">
        <v>44942</v>
      </c>
      <c r="D122" s="260" t="s">
        <v>425</v>
      </c>
      <c r="E122" s="260" t="s">
        <v>24</v>
      </c>
      <c r="F122" s="260" t="s">
        <v>25</v>
      </c>
      <c r="G122" s="260" t="s">
        <v>426</v>
      </c>
      <c r="H122" s="260"/>
      <c r="I122" s="260" t="s">
        <v>27</v>
      </c>
      <c r="J122" s="260" t="s">
        <v>28</v>
      </c>
      <c r="K122" s="1" t="s">
        <v>186</v>
      </c>
      <c r="L122" s="262" t="s">
        <v>187</v>
      </c>
      <c r="M122" s="263">
        <v>579</v>
      </c>
      <c r="N122" s="263"/>
      <c r="O122" s="263"/>
      <c r="P122" s="263"/>
      <c r="Q122" s="263"/>
      <c r="R122" s="418">
        <v>579</v>
      </c>
      <c r="S122" s="260" t="s">
        <v>65</v>
      </c>
      <c r="T122" s="263"/>
      <c r="U122" s="260"/>
      <c r="V122" s="260"/>
    </row>
    <row r="123" spans="1:22" s="264" customFormat="1" hidden="1">
      <c r="A123" s="259">
        <v>122</v>
      </c>
      <c r="B123" s="260" t="s">
        <v>424</v>
      </c>
      <c r="C123" s="261">
        <v>44942</v>
      </c>
      <c r="D123" s="260" t="s">
        <v>425</v>
      </c>
      <c r="E123" s="260" t="s">
        <v>24</v>
      </c>
      <c r="F123" s="260" t="s">
        <v>25</v>
      </c>
      <c r="G123" s="260" t="s">
        <v>426</v>
      </c>
      <c r="H123" s="260"/>
      <c r="I123" s="260" t="s">
        <v>27</v>
      </c>
      <c r="J123" s="260" t="s">
        <v>28</v>
      </c>
      <c r="K123" s="1" t="s">
        <v>188</v>
      </c>
      <c r="L123" s="262" t="s">
        <v>320</v>
      </c>
      <c r="M123" s="263">
        <v>223.2</v>
      </c>
      <c r="N123" s="263"/>
      <c r="O123" s="263"/>
      <c r="P123" s="263"/>
      <c r="Q123" s="263"/>
      <c r="R123" s="418">
        <v>223.2</v>
      </c>
      <c r="S123" s="260" t="s">
        <v>65</v>
      </c>
      <c r="T123" s="263"/>
      <c r="U123" s="260"/>
      <c r="V123" s="260"/>
    </row>
    <row r="124" spans="1:22" s="264" customFormat="1" hidden="1">
      <c r="A124" s="259">
        <v>123</v>
      </c>
      <c r="B124" s="260" t="s">
        <v>424</v>
      </c>
      <c r="C124" s="261">
        <v>44942</v>
      </c>
      <c r="D124" s="260" t="s">
        <v>425</v>
      </c>
      <c r="E124" s="260" t="s">
        <v>24</v>
      </c>
      <c r="F124" s="260" t="s">
        <v>25</v>
      </c>
      <c r="G124" s="260" t="s">
        <v>426</v>
      </c>
      <c r="H124" s="260"/>
      <c r="I124" s="260" t="s">
        <v>27</v>
      </c>
      <c r="J124" s="260" t="s">
        <v>28</v>
      </c>
      <c r="K124" s="1" t="s">
        <v>190</v>
      </c>
      <c r="L124" s="262" t="s">
        <v>330</v>
      </c>
      <c r="M124" s="263">
        <v>153.6</v>
      </c>
      <c r="N124" s="263"/>
      <c r="O124" s="263"/>
      <c r="P124" s="263"/>
      <c r="Q124" s="263"/>
      <c r="R124" s="418">
        <v>153.6</v>
      </c>
      <c r="S124" s="260" t="s">
        <v>65</v>
      </c>
      <c r="T124" s="263"/>
      <c r="U124" s="260"/>
      <c r="V124" s="260"/>
    </row>
    <row r="125" spans="1:22" s="264" customFormat="1" hidden="1">
      <c r="A125" s="259">
        <v>124</v>
      </c>
      <c r="B125" s="260" t="s">
        <v>427</v>
      </c>
      <c r="C125" s="261">
        <v>44942</v>
      </c>
      <c r="D125" s="260" t="s">
        <v>428</v>
      </c>
      <c r="E125" s="260" t="s">
        <v>24</v>
      </c>
      <c r="F125" s="260" t="s">
        <v>25</v>
      </c>
      <c r="G125" s="260" t="s">
        <v>429</v>
      </c>
      <c r="H125" s="260"/>
      <c r="I125" s="260" t="s">
        <v>27</v>
      </c>
      <c r="J125" s="260" t="s">
        <v>28</v>
      </c>
      <c r="K125" s="1" t="s">
        <v>165</v>
      </c>
      <c r="L125" s="262" t="s">
        <v>411</v>
      </c>
      <c r="M125" s="263">
        <v>102</v>
      </c>
      <c r="N125" s="263"/>
      <c r="O125" s="263"/>
      <c r="P125" s="263"/>
      <c r="Q125" s="263"/>
      <c r="R125" s="263">
        <v>102</v>
      </c>
      <c r="S125" s="260" t="s">
        <v>31</v>
      </c>
      <c r="T125" s="263"/>
      <c r="U125" s="260"/>
      <c r="V125" s="260"/>
    </row>
    <row r="126" spans="1:22" s="264" customFormat="1" hidden="1">
      <c r="A126" s="259">
        <v>125</v>
      </c>
      <c r="B126" s="260" t="s">
        <v>427</v>
      </c>
      <c r="C126" s="261">
        <v>44942</v>
      </c>
      <c r="D126" s="260" t="s">
        <v>428</v>
      </c>
      <c r="E126" s="260" t="s">
        <v>24</v>
      </c>
      <c r="F126" s="260" t="s">
        <v>25</v>
      </c>
      <c r="G126" s="260" t="s">
        <v>429</v>
      </c>
      <c r="H126" s="260"/>
      <c r="I126" s="260" t="s">
        <v>27</v>
      </c>
      <c r="J126" s="260" t="s">
        <v>28</v>
      </c>
      <c r="K126" s="1" t="s">
        <v>175</v>
      </c>
      <c r="L126" s="262" t="s">
        <v>314</v>
      </c>
      <c r="M126" s="263">
        <v>14</v>
      </c>
      <c r="N126" s="263"/>
      <c r="O126" s="263"/>
      <c r="P126" s="263"/>
      <c r="Q126" s="263"/>
      <c r="R126" s="263">
        <v>14</v>
      </c>
      <c r="S126" s="260" t="s">
        <v>31</v>
      </c>
      <c r="T126" s="263"/>
      <c r="U126" s="260"/>
      <c r="V126" s="260"/>
    </row>
    <row r="127" spans="1:22" s="264" customFormat="1" hidden="1">
      <c r="A127" s="259">
        <v>126</v>
      </c>
      <c r="B127" s="260" t="s">
        <v>427</v>
      </c>
      <c r="C127" s="261">
        <v>44942</v>
      </c>
      <c r="D127" s="260" t="s">
        <v>428</v>
      </c>
      <c r="E127" s="260" t="s">
        <v>24</v>
      </c>
      <c r="F127" s="260" t="s">
        <v>25</v>
      </c>
      <c r="G127" s="260" t="s">
        <v>429</v>
      </c>
      <c r="H127" s="260"/>
      <c r="I127" s="260" t="s">
        <v>27</v>
      </c>
      <c r="J127" s="260" t="s">
        <v>28</v>
      </c>
      <c r="K127" s="1" t="s">
        <v>173</v>
      </c>
      <c r="L127" s="262" t="s">
        <v>413</v>
      </c>
      <c r="M127" s="263">
        <v>39</v>
      </c>
      <c r="N127" s="263"/>
      <c r="O127" s="263"/>
      <c r="P127" s="263"/>
      <c r="Q127" s="263"/>
      <c r="R127" s="263">
        <v>39</v>
      </c>
      <c r="S127" s="260" t="s">
        <v>31</v>
      </c>
      <c r="T127" s="263"/>
      <c r="U127" s="260"/>
      <c r="V127" s="260"/>
    </row>
    <row r="128" spans="1:22" s="264" customFormat="1" hidden="1">
      <c r="A128" s="259">
        <v>127</v>
      </c>
      <c r="B128" s="260" t="s">
        <v>430</v>
      </c>
      <c r="C128" s="261">
        <v>44942</v>
      </c>
      <c r="D128" s="260" t="s">
        <v>431</v>
      </c>
      <c r="E128" s="260" t="s">
        <v>24</v>
      </c>
      <c r="F128" s="260" t="s">
        <v>25</v>
      </c>
      <c r="G128" s="260" t="s">
        <v>432</v>
      </c>
      <c r="H128" s="260"/>
      <c r="I128" s="260" t="s">
        <v>27</v>
      </c>
      <c r="J128" s="260" t="s">
        <v>28</v>
      </c>
      <c r="K128" s="1" t="s">
        <v>173</v>
      </c>
      <c r="L128" s="262" t="s">
        <v>413</v>
      </c>
      <c r="M128" s="263">
        <v>86</v>
      </c>
      <c r="N128" s="263"/>
      <c r="O128" s="263"/>
      <c r="P128" s="263"/>
      <c r="Q128" s="263"/>
      <c r="R128" s="263">
        <v>86</v>
      </c>
      <c r="S128" s="260" t="s">
        <v>31</v>
      </c>
      <c r="T128" s="263"/>
      <c r="U128" s="260"/>
      <c r="V128" s="260"/>
    </row>
    <row r="129" spans="1:22" s="264" customFormat="1" hidden="1">
      <c r="A129" s="259">
        <v>128</v>
      </c>
      <c r="B129" s="260" t="s">
        <v>430</v>
      </c>
      <c r="C129" s="261">
        <v>44942</v>
      </c>
      <c r="D129" s="260" t="s">
        <v>431</v>
      </c>
      <c r="E129" s="260" t="s">
        <v>24</v>
      </c>
      <c r="F129" s="260" t="s">
        <v>25</v>
      </c>
      <c r="G129" s="260" t="s">
        <v>432</v>
      </c>
      <c r="H129" s="260"/>
      <c r="I129" s="260" t="s">
        <v>27</v>
      </c>
      <c r="J129" s="260" t="s">
        <v>28</v>
      </c>
      <c r="K129" s="1" t="s">
        <v>175</v>
      </c>
      <c r="L129" s="262" t="s">
        <v>314</v>
      </c>
      <c r="M129" s="263">
        <v>77</v>
      </c>
      <c r="N129" s="263"/>
      <c r="O129" s="263"/>
      <c r="P129" s="263"/>
      <c r="Q129" s="263"/>
      <c r="R129" s="263">
        <v>77</v>
      </c>
      <c r="S129" s="260" t="s">
        <v>31</v>
      </c>
      <c r="T129" s="263"/>
      <c r="U129" s="260"/>
      <c r="V129" s="260"/>
    </row>
    <row r="130" spans="1:22" s="264" customFormat="1" hidden="1">
      <c r="A130" s="259">
        <v>129</v>
      </c>
      <c r="B130" s="260" t="s">
        <v>433</v>
      </c>
      <c r="C130" s="261">
        <v>44942</v>
      </c>
      <c r="D130" s="260" t="s">
        <v>434</v>
      </c>
      <c r="E130" s="260" t="s">
        <v>24</v>
      </c>
      <c r="F130" s="260" t="s">
        <v>25</v>
      </c>
      <c r="G130" s="260" t="s">
        <v>435</v>
      </c>
      <c r="H130" s="260"/>
      <c r="I130" s="260" t="s">
        <v>27</v>
      </c>
      <c r="J130" s="260" t="s">
        <v>28</v>
      </c>
      <c r="K130" s="1" t="s">
        <v>186</v>
      </c>
      <c r="L130" s="262" t="s">
        <v>187</v>
      </c>
      <c r="M130" s="263">
        <v>24</v>
      </c>
      <c r="N130" s="263"/>
      <c r="O130" s="263"/>
      <c r="P130" s="263"/>
      <c r="Q130" s="263"/>
      <c r="R130" s="263">
        <v>24</v>
      </c>
      <c r="S130" s="260" t="s">
        <v>65</v>
      </c>
      <c r="T130" s="263"/>
      <c r="U130" s="260"/>
      <c r="V130" s="260"/>
    </row>
    <row r="131" spans="1:22" s="264" customFormat="1" hidden="1">
      <c r="A131" s="259">
        <v>130</v>
      </c>
      <c r="B131" s="260" t="s">
        <v>433</v>
      </c>
      <c r="C131" s="261">
        <v>44942</v>
      </c>
      <c r="D131" s="260" t="s">
        <v>434</v>
      </c>
      <c r="E131" s="260" t="s">
        <v>24</v>
      </c>
      <c r="F131" s="260" t="s">
        <v>25</v>
      </c>
      <c r="G131" s="260" t="s">
        <v>435</v>
      </c>
      <c r="H131" s="260"/>
      <c r="I131" s="260" t="s">
        <v>27</v>
      </c>
      <c r="J131" s="260" t="s">
        <v>28</v>
      </c>
      <c r="K131" s="1" t="s">
        <v>188</v>
      </c>
      <c r="L131" s="262" t="s">
        <v>320</v>
      </c>
      <c r="M131" s="263">
        <v>18</v>
      </c>
      <c r="N131" s="263"/>
      <c r="O131" s="263"/>
      <c r="P131" s="263"/>
      <c r="Q131" s="263"/>
      <c r="R131" s="263">
        <v>18</v>
      </c>
      <c r="S131" s="260" t="s">
        <v>65</v>
      </c>
      <c r="T131" s="263"/>
      <c r="U131" s="260"/>
      <c r="V131" s="260"/>
    </row>
    <row r="132" spans="1:22" s="264" customFormat="1" hidden="1">
      <c r="A132" s="259">
        <v>131</v>
      </c>
      <c r="B132" s="260" t="s">
        <v>433</v>
      </c>
      <c r="C132" s="261">
        <v>44942</v>
      </c>
      <c r="D132" s="260" t="s">
        <v>434</v>
      </c>
      <c r="E132" s="260" t="s">
        <v>24</v>
      </c>
      <c r="F132" s="260" t="s">
        <v>25</v>
      </c>
      <c r="G132" s="260" t="s">
        <v>435</v>
      </c>
      <c r="H132" s="260"/>
      <c r="I132" s="260" t="s">
        <v>27</v>
      </c>
      <c r="J132" s="260" t="s">
        <v>28</v>
      </c>
      <c r="K132" s="1" t="s">
        <v>190</v>
      </c>
      <c r="L132" s="262" t="s">
        <v>330</v>
      </c>
      <c r="M132" s="263">
        <v>280.8</v>
      </c>
      <c r="N132" s="263"/>
      <c r="O132" s="263"/>
      <c r="P132" s="263"/>
      <c r="Q132" s="263"/>
      <c r="R132" s="263">
        <v>280.8</v>
      </c>
      <c r="S132" s="260" t="s">
        <v>65</v>
      </c>
      <c r="T132" s="263"/>
      <c r="U132" s="260"/>
      <c r="V132" s="260"/>
    </row>
    <row r="133" spans="1:22" s="264" customFormat="1" hidden="1">
      <c r="A133" s="259">
        <v>132</v>
      </c>
      <c r="B133" s="260" t="s">
        <v>436</v>
      </c>
      <c r="C133" s="261">
        <v>44942</v>
      </c>
      <c r="D133" s="260" t="s">
        <v>437</v>
      </c>
      <c r="E133" s="260" t="s">
        <v>24</v>
      </c>
      <c r="F133" s="260" t="s">
        <v>25</v>
      </c>
      <c r="G133" s="260" t="s">
        <v>438</v>
      </c>
      <c r="H133" s="260"/>
      <c r="I133" s="260" t="s">
        <v>27</v>
      </c>
      <c r="J133" s="260" t="s">
        <v>28</v>
      </c>
      <c r="K133" s="1" t="s">
        <v>134</v>
      </c>
      <c r="L133" s="262" t="s">
        <v>439</v>
      </c>
      <c r="M133" s="263">
        <v>1.5</v>
      </c>
      <c r="N133" s="263"/>
      <c r="O133" s="263"/>
      <c r="P133" s="263"/>
      <c r="Q133" s="263"/>
      <c r="R133" s="263">
        <v>1.5</v>
      </c>
      <c r="S133" s="260" t="s">
        <v>31</v>
      </c>
      <c r="T133" s="263"/>
      <c r="U133" s="260"/>
      <c r="V133" s="260"/>
    </row>
    <row r="134" spans="1:22" s="264" customFormat="1" hidden="1">
      <c r="A134" s="259">
        <v>133</v>
      </c>
      <c r="B134" s="260" t="s">
        <v>436</v>
      </c>
      <c r="C134" s="261">
        <v>44942</v>
      </c>
      <c r="D134" s="260" t="s">
        <v>437</v>
      </c>
      <c r="E134" s="260" t="s">
        <v>24</v>
      </c>
      <c r="F134" s="260" t="s">
        <v>25</v>
      </c>
      <c r="G134" s="260" t="s">
        <v>438</v>
      </c>
      <c r="H134" s="260"/>
      <c r="I134" s="260" t="s">
        <v>27</v>
      </c>
      <c r="J134" s="260" t="s">
        <v>28</v>
      </c>
      <c r="K134" s="1" t="s">
        <v>140</v>
      </c>
      <c r="L134" s="262" t="s">
        <v>440</v>
      </c>
      <c r="M134" s="263">
        <v>1.5</v>
      </c>
      <c r="N134" s="263"/>
      <c r="O134" s="263"/>
      <c r="P134" s="263"/>
      <c r="Q134" s="263"/>
      <c r="R134" s="263">
        <v>1.5</v>
      </c>
      <c r="S134" s="260" t="s">
        <v>31</v>
      </c>
      <c r="T134" s="263"/>
      <c r="U134" s="260"/>
      <c r="V134" s="260"/>
    </row>
    <row r="135" spans="1:22" s="264" customFormat="1" hidden="1">
      <c r="A135" s="259">
        <v>134</v>
      </c>
      <c r="B135" s="260" t="s">
        <v>436</v>
      </c>
      <c r="C135" s="261">
        <v>44942</v>
      </c>
      <c r="D135" s="260" t="s">
        <v>437</v>
      </c>
      <c r="E135" s="260" t="s">
        <v>24</v>
      </c>
      <c r="F135" s="260" t="s">
        <v>25</v>
      </c>
      <c r="G135" s="260" t="s">
        <v>438</v>
      </c>
      <c r="H135" s="260"/>
      <c r="I135" s="260" t="s">
        <v>27</v>
      </c>
      <c r="J135" s="260" t="s">
        <v>28</v>
      </c>
      <c r="K135" s="1" t="s">
        <v>150</v>
      </c>
      <c r="L135" s="262" t="s">
        <v>360</v>
      </c>
      <c r="M135" s="263">
        <v>88.5</v>
      </c>
      <c r="N135" s="263"/>
      <c r="O135" s="263"/>
      <c r="P135" s="263"/>
      <c r="Q135" s="263"/>
      <c r="R135" s="263">
        <v>88.5</v>
      </c>
      <c r="S135" s="260" t="s">
        <v>31</v>
      </c>
      <c r="T135" s="263"/>
      <c r="U135" s="260"/>
      <c r="V135" s="260"/>
    </row>
    <row r="136" spans="1:22" s="264" customFormat="1" hidden="1">
      <c r="A136" s="259">
        <v>135</v>
      </c>
      <c r="B136" s="260" t="s">
        <v>436</v>
      </c>
      <c r="C136" s="261">
        <v>44942</v>
      </c>
      <c r="D136" s="260" t="s">
        <v>437</v>
      </c>
      <c r="E136" s="260" t="s">
        <v>24</v>
      </c>
      <c r="F136" s="260" t="s">
        <v>25</v>
      </c>
      <c r="G136" s="260" t="s">
        <v>438</v>
      </c>
      <c r="H136" s="260"/>
      <c r="I136" s="260" t="s">
        <v>27</v>
      </c>
      <c r="J136" s="260" t="s">
        <v>28</v>
      </c>
      <c r="K136" s="1" t="s">
        <v>155</v>
      </c>
      <c r="L136" s="262" t="s">
        <v>381</v>
      </c>
      <c r="M136" s="263">
        <v>50</v>
      </c>
      <c r="N136" s="263"/>
      <c r="O136" s="263"/>
      <c r="P136" s="263"/>
      <c r="Q136" s="263"/>
      <c r="R136" s="263">
        <v>50</v>
      </c>
      <c r="S136" s="260" t="s">
        <v>31</v>
      </c>
      <c r="T136" s="263"/>
      <c r="U136" s="260"/>
      <c r="V136" s="260"/>
    </row>
    <row r="137" spans="1:22" s="264" customFormat="1" hidden="1">
      <c r="A137" s="259">
        <v>136</v>
      </c>
      <c r="B137" s="260" t="s">
        <v>436</v>
      </c>
      <c r="C137" s="261">
        <v>44942</v>
      </c>
      <c r="D137" s="260" t="s">
        <v>437</v>
      </c>
      <c r="E137" s="260" t="s">
        <v>24</v>
      </c>
      <c r="F137" s="260" t="s">
        <v>25</v>
      </c>
      <c r="G137" s="260" t="s">
        <v>438</v>
      </c>
      <c r="H137" s="260"/>
      <c r="I137" s="260" t="s">
        <v>89</v>
      </c>
      <c r="J137" s="260" t="s">
        <v>90</v>
      </c>
      <c r="K137" s="1" t="s">
        <v>91</v>
      </c>
      <c r="L137" s="262" t="s">
        <v>441</v>
      </c>
      <c r="M137" s="263">
        <v>750</v>
      </c>
      <c r="N137" s="263"/>
      <c r="O137" s="263"/>
      <c r="P137" s="263"/>
      <c r="Q137" s="263"/>
      <c r="R137" s="263">
        <v>750</v>
      </c>
      <c r="S137" s="260" t="s">
        <v>95</v>
      </c>
      <c r="T137" s="263"/>
      <c r="U137" s="260"/>
      <c r="V137" s="260"/>
    </row>
    <row r="138" spans="1:22" s="264" customFormat="1" hidden="1">
      <c r="A138" s="259">
        <v>137</v>
      </c>
      <c r="B138" s="260" t="s">
        <v>442</v>
      </c>
      <c r="C138" s="261">
        <v>44944</v>
      </c>
      <c r="D138" s="260" t="s">
        <v>443</v>
      </c>
      <c r="E138" s="260" t="s">
        <v>24</v>
      </c>
      <c r="F138" s="260" t="s">
        <v>25</v>
      </c>
      <c r="G138" s="260" t="s">
        <v>444</v>
      </c>
      <c r="H138" s="260"/>
      <c r="I138" s="260" t="s">
        <v>27</v>
      </c>
      <c r="J138" s="260" t="s">
        <v>28</v>
      </c>
      <c r="K138" s="1" t="s">
        <v>175</v>
      </c>
      <c r="L138" s="262" t="s">
        <v>314</v>
      </c>
      <c r="M138" s="263">
        <v>170</v>
      </c>
      <c r="N138" s="263"/>
      <c r="O138" s="263"/>
      <c r="P138" s="263"/>
      <c r="Q138" s="263"/>
      <c r="R138" s="263">
        <v>170</v>
      </c>
      <c r="S138" s="260" t="s">
        <v>31</v>
      </c>
      <c r="T138" s="263"/>
      <c r="U138" s="260"/>
      <c r="V138" s="260"/>
    </row>
    <row r="139" spans="1:22" s="264" customFormat="1" hidden="1">
      <c r="A139" s="259">
        <v>138</v>
      </c>
      <c r="B139" s="260" t="s">
        <v>445</v>
      </c>
      <c r="C139" s="261">
        <v>44944</v>
      </c>
      <c r="D139" s="260" t="s">
        <v>446</v>
      </c>
      <c r="E139" s="260" t="s">
        <v>24</v>
      </c>
      <c r="F139" s="260" t="s">
        <v>25</v>
      </c>
      <c r="G139" s="260" t="s">
        <v>447</v>
      </c>
      <c r="H139" s="260"/>
      <c r="I139" s="260" t="s">
        <v>27</v>
      </c>
      <c r="J139" s="260" t="s">
        <v>28</v>
      </c>
      <c r="K139" s="1" t="s">
        <v>173</v>
      </c>
      <c r="L139" s="262" t="s">
        <v>413</v>
      </c>
      <c r="M139" s="263">
        <v>120</v>
      </c>
      <c r="N139" s="263"/>
      <c r="O139" s="263"/>
      <c r="P139" s="263"/>
      <c r="Q139" s="263"/>
      <c r="R139" s="263">
        <v>120</v>
      </c>
      <c r="S139" s="260" t="s">
        <v>31</v>
      </c>
      <c r="T139" s="263"/>
      <c r="U139" s="260"/>
      <c r="V139" s="260"/>
    </row>
    <row r="140" spans="1:22" s="264" customFormat="1" hidden="1">
      <c r="A140" s="259">
        <v>139</v>
      </c>
      <c r="B140" s="260" t="s">
        <v>445</v>
      </c>
      <c r="C140" s="261">
        <v>44944</v>
      </c>
      <c r="D140" s="260" t="s">
        <v>446</v>
      </c>
      <c r="E140" s="260" t="s">
        <v>24</v>
      </c>
      <c r="F140" s="260" t="s">
        <v>25</v>
      </c>
      <c r="G140" s="260" t="s">
        <v>447</v>
      </c>
      <c r="H140" s="260"/>
      <c r="I140" s="260" t="s">
        <v>27</v>
      </c>
      <c r="J140" s="260" t="s">
        <v>28</v>
      </c>
      <c r="K140" s="1" t="s">
        <v>175</v>
      </c>
      <c r="L140" s="262" t="s">
        <v>314</v>
      </c>
      <c r="M140" s="263">
        <v>40</v>
      </c>
      <c r="N140" s="263"/>
      <c r="O140" s="263"/>
      <c r="P140" s="263"/>
      <c r="Q140" s="263"/>
      <c r="R140" s="263">
        <v>40</v>
      </c>
      <c r="S140" s="260" t="s">
        <v>31</v>
      </c>
      <c r="T140" s="263"/>
      <c r="U140" s="260"/>
      <c r="V140" s="260"/>
    </row>
    <row r="141" spans="1:22" s="264" customFormat="1" hidden="1">
      <c r="A141" s="259">
        <v>140</v>
      </c>
      <c r="B141" s="260" t="s">
        <v>448</v>
      </c>
      <c r="C141" s="261">
        <v>44950</v>
      </c>
      <c r="D141" s="260" t="s">
        <v>449</v>
      </c>
      <c r="E141" s="260" t="s">
        <v>24</v>
      </c>
      <c r="F141" s="260" t="s">
        <v>25</v>
      </c>
      <c r="G141" s="260" t="s">
        <v>450</v>
      </c>
      <c r="H141" s="260"/>
      <c r="I141" s="260" t="s">
        <v>27</v>
      </c>
      <c r="J141" s="260" t="s">
        <v>28</v>
      </c>
      <c r="K141" s="1" t="s">
        <v>173</v>
      </c>
      <c r="L141" s="262" t="s">
        <v>413</v>
      </c>
      <c r="M141" s="263">
        <v>150</v>
      </c>
      <c r="N141" s="263"/>
      <c r="O141" s="263"/>
      <c r="P141" s="263"/>
      <c r="Q141" s="263"/>
      <c r="R141" s="263">
        <v>150</v>
      </c>
      <c r="S141" s="260" t="s">
        <v>31</v>
      </c>
      <c r="T141" s="263"/>
      <c r="U141" s="260"/>
      <c r="V141" s="260"/>
    </row>
    <row r="142" spans="1:22" s="264" customFormat="1" hidden="1">
      <c r="A142" s="259">
        <v>141</v>
      </c>
      <c r="B142" s="260" t="s">
        <v>448</v>
      </c>
      <c r="C142" s="261">
        <v>44950</v>
      </c>
      <c r="D142" s="260" t="s">
        <v>449</v>
      </c>
      <c r="E142" s="260" t="s">
        <v>24</v>
      </c>
      <c r="F142" s="260" t="s">
        <v>25</v>
      </c>
      <c r="G142" s="260" t="s">
        <v>450</v>
      </c>
      <c r="H142" s="260"/>
      <c r="I142" s="260" t="s">
        <v>27</v>
      </c>
      <c r="J142" s="260" t="s">
        <v>28</v>
      </c>
      <c r="K142" s="1" t="s">
        <v>175</v>
      </c>
      <c r="L142" s="262" t="s">
        <v>314</v>
      </c>
      <c r="M142" s="263">
        <v>29.5</v>
      </c>
      <c r="N142" s="263"/>
      <c r="O142" s="263"/>
      <c r="P142" s="263"/>
      <c r="Q142" s="263"/>
      <c r="R142" s="263">
        <v>29.5</v>
      </c>
      <c r="S142" s="260" t="s">
        <v>31</v>
      </c>
      <c r="T142" s="263"/>
      <c r="U142" s="260"/>
      <c r="V142" s="260"/>
    </row>
    <row r="143" spans="1:22" s="264" customFormat="1" hidden="1">
      <c r="A143" s="259">
        <v>142</v>
      </c>
      <c r="B143" s="260" t="s">
        <v>451</v>
      </c>
      <c r="C143" s="261">
        <v>44955</v>
      </c>
      <c r="D143" s="260" t="s">
        <v>452</v>
      </c>
      <c r="E143" s="260" t="s">
        <v>24</v>
      </c>
      <c r="F143" s="260" t="s">
        <v>25</v>
      </c>
      <c r="G143" s="260" t="s">
        <v>453</v>
      </c>
      <c r="H143" s="260"/>
      <c r="I143" s="260" t="s">
        <v>27</v>
      </c>
      <c r="J143" s="260" t="s">
        <v>28</v>
      </c>
      <c r="K143" s="1" t="s">
        <v>173</v>
      </c>
      <c r="L143" s="262" t="s">
        <v>413</v>
      </c>
      <c r="M143" s="263">
        <v>97</v>
      </c>
      <c r="N143" s="263"/>
      <c r="O143" s="263"/>
      <c r="P143" s="263"/>
      <c r="Q143" s="263"/>
      <c r="R143" s="263">
        <v>97</v>
      </c>
      <c r="S143" s="260" t="s">
        <v>31</v>
      </c>
      <c r="T143" s="263"/>
      <c r="U143" s="260"/>
      <c r="V143" s="260"/>
    </row>
    <row r="144" spans="1:22" s="264" customFormat="1" hidden="1">
      <c r="A144" s="259">
        <v>143</v>
      </c>
      <c r="B144" s="260" t="s">
        <v>451</v>
      </c>
      <c r="C144" s="261">
        <v>44955</v>
      </c>
      <c r="D144" s="260" t="s">
        <v>452</v>
      </c>
      <c r="E144" s="260" t="s">
        <v>24</v>
      </c>
      <c r="F144" s="260" t="s">
        <v>25</v>
      </c>
      <c r="G144" s="260" t="s">
        <v>453</v>
      </c>
      <c r="H144" s="260"/>
      <c r="I144" s="260" t="s">
        <v>27</v>
      </c>
      <c r="J144" s="260" t="s">
        <v>28</v>
      </c>
      <c r="K144" s="1" t="s">
        <v>175</v>
      </c>
      <c r="L144" s="262" t="s">
        <v>314</v>
      </c>
      <c r="M144" s="263">
        <v>50.5</v>
      </c>
      <c r="N144" s="263"/>
      <c r="O144" s="263"/>
      <c r="P144" s="263"/>
      <c r="Q144" s="263"/>
      <c r="R144" s="263">
        <v>50.5</v>
      </c>
      <c r="S144" s="260" t="s">
        <v>31</v>
      </c>
      <c r="T144" s="263"/>
      <c r="U144" s="260"/>
      <c r="V144" s="260"/>
    </row>
    <row r="145" spans="1:23" s="264" customFormat="1" hidden="1">
      <c r="A145" s="259">
        <v>144</v>
      </c>
      <c r="B145" s="260" t="s">
        <v>451</v>
      </c>
      <c r="C145" s="261">
        <v>44955</v>
      </c>
      <c r="D145" s="260" t="s">
        <v>452</v>
      </c>
      <c r="E145" s="260" t="s">
        <v>24</v>
      </c>
      <c r="F145" s="260" t="s">
        <v>25</v>
      </c>
      <c r="G145" s="260" t="s">
        <v>453</v>
      </c>
      <c r="H145" s="260"/>
      <c r="I145" s="260" t="s">
        <v>27</v>
      </c>
      <c r="J145" s="260" t="s">
        <v>28</v>
      </c>
      <c r="K145" s="1" t="s">
        <v>77</v>
      </c>
      <c r="L145" s="262" t="s">
        <v>78</v>
      </c>
      <c r="M145" s="263">
        <v>10</v>
      </c>
      <c r="N145" s="263"/>
      <c r="O145" s="263"/>
      <c r="P145" s="263"/>
      <c r="Q145" s="263"/>
      <c r="R145" s="263">
        <v>10</v>
      </c>
      <c r="S145" s="260" t="s">
        <v>31</v>
      </c>
      <c r="T145" s="263"/>
      <c r="U145" s="260"/>
      <c r="V145" s="260"/>
    </row>
    <row r="146" spans="1:23" s="264" customFormat="1" hidden="1">
      <c r="A146" s="259">
        <v>145</v>
      </c>
      <c r="B146" s="260" t="s">
        <v>451</v>
      </c>
      <c r="C146" s="261">
        <v>44955</v>
      </c>
      <c r="D146" s="260" t="s">
        <v>452</v>
      </c>
      <c r="E146" s="260" t="s">
        <v>24</v>
      </c>
      <c r="F146" s="260" t="s">
        <v>25</v>
      </c>
      <c r="G146" s="260" t="s">
        <v>453</v>
      </c>
      <c r="H146" s="260"/>
      <c r="I146" s="260" t="s">
        <v>27</v>
      </c>
      <c r="J146" s="260" t="s">
        <v>28</v>
      </c>
      <c r="K146" s="1" t="s">
        <v>152</v>
      </c>
      <c r="L146" s="262" t="s">
        <v>454</v>
      </c>
      <c r="M146" s="263">
        <v>68.5</v>
      </c>
      <c r="N146" s="263"/>
      <c r="O146" s="263"/>
      <c r="P146" s="263"/>
      <c r="Q146" s="263"/>
      <c r="R146" s="263">
        <v>68.5</v>
      </c>
      <c r="S146" s="260" t="s">
        <v>31</v>
      </c>
      <c r="T146" s="263"/>
      <c r="U146" s="260"/>
      <c r="V146" s="260"/>
    </row>
    <row r="147" spans="1:23" s="400" customFormat="1" hidden="1">
      <c r="A147" s="394">
        <v>146</v>
      </c>
      <c r="B147" s="395" t="s">
        <v>455</v>
      </c>
      <c r="C147" s="396">
        <v>45022</v>
      </c>
      <c r="D147" s="395" t="s">
        <v>456</v>
      </c>
      <c r="E147" s="395" t="s">
        <v>24</v>
      </c>
      <c r="F147" s="395" t="s">
        <v>25</v>
      </c>
      <c r="G147" s="395" t="s">
        <v>457</v>
      </c>
      <c r="H147" s="395"/>
      <c r="I147" s="395" t="s">
        <v>27</v>
      </c>
      <c r="J147" s="395" t="s">
        <v>28</v>
      </c>
      <c r="K147" s="395" t="s">
        <v>290</v>
      </c>
      <c r="L147" s="397" t="s">
        <v>325</v>
      </c>
      <c r="M147" s="398">
        <v>348</v>
      </c>
      <c r="N147" s="398"/>
      <c r="O147" s="398"/>
      <c r="P147" s="398"/>
      <c r="Q147" s="398"/>
      <c r="R147" s="398">
        <v>348</v>
      </c>
      <c r="S147" s="395" t="s">
        <v>65</v>
      </c>
      <c r="T147" s="398"/>
      <c r="U147" s="395"/>
      <c r="V147" s="395"/>
      <c r="W147" s="399" t="s">
        <v>488</v>
      </c>
    </row>
    <row r="148" spans="1:23" s="400" customFormat="1" hidden="1">
      <c r="A148" s="394">
        <v>147</v>
      </c>
      <c r="B148" s="395" t="s">
        <v>458</v>
      </c>
      <c r="C148" s="396">
        <v>45022</v>
      </c>
      <c r="D148" s="395" t="s">
        <v>459</v>
      </c>
      <c r="E148" s="395" t="s">
        <v>24</v>
      </c>
      <c r="F148" s="395" t="s">
        <v>25</v>
      </c>
      <c r="G148" s="395" t="s">
        <v>460</v>
      </c>
      <c r="H148" s="395" t="s">
        <v>461</v>
      </c>
      <c r="I148" s="395" t="s">
        <v>27</v>
      </c>
      <c r="J148" s="395" t="s">
        <v>28</v>
      </c>
      <c r="K148" s="395" t="s">
        <v>290</v>
      </c>
      <c r="L148" s="397" t="s">
        <v>325</v>
      </c>
      <c r="M148" s="398">
        <v>352.08</v>
      </c>
      <c r="N148" s="398"/>
      <c r="O148" s="398"/>
      <c r="P148" s="398"/>
      <c r="Q148" s="398"/>
      <c r="R148" s="398">
        <v>352.08</v>
      </c>
      <c r="S148" s="395" t="s">
        <v>65</v>
      </c>
      <c r="T148" s="398"/>
      <c r="U148" s="395"/>
      <c r="V148" s="395"/>
      <c r="W148" s="399" t="s">
        <v>488</v>
      </c>
    </row>
    <row r="149" spans="1:23" s="407" customFormat="1" hidden="1">
      <c r="A149" s="402">
        <v>148</v>
      </c>
      <c r="B149" s="403" t="s">
        <v>462</v>
      </c>
      <c r="C149" s="404">
        <v>45022</v>
      </c>
      <c r="D149" s="403" t="s">
        <v>463</v>
      </c>
      <c r="E149" s="403" t="s">
        <v>24</v>
      </c>
      <c r="F149" s="403" t="s">
        <v>25</v>
      </c>
      <c r="G149" s="403" t="s">
        <v>464</v>
      </c>
      <c r="H149" s="403"/>
      <c r="I149" s="403" t="s">
        <v>27</v>
      </c>
      <c r="J149" s="403" t="s">
        <v>28</v>
      </c>
      <c r="K149" s="403" t="s">
        <v>125</v>
      </c>
      <c r="L149" s="405" t="s">
        <v>352</v>
      </c>
      <c r="M149" s="406">
        <v>994</v>
      </c>
      <c r="N149" s="406"/>
      <c r="O149" s="406"/>
      <c r="P149" s="406"/>
      <c r="Q149" s="406"/>
      <c r="R149" s="406">
        <v>994</v>
      </c>
      <c r="S149" s="403" t="s">
        <v>31</v>
      </c>
      <c r="T149" s="406"/>
      <c r="U149" s="403"/>
      <c r="V149" s="403"/>
    </row>
    <row r="150" spans="1:23" s="407" customFormat="1" hidden="1">
      <c r="A150" s="402">
        <v>149</v>
      </c>
      <c r="B150" s="403" t="s">
        <v>462</v>
      </c>
      <c r="C150" s="404">
        <v>45022</v>
      </c>
      <c r="D150" s="403" t="s">
        <v>463</v>
      </c>
      <c r="E150" s="403" t="s">
        <v>24</v>
      </c>
      <c r="F150" s="403" t="s">
        <v>25</v>
      </c>
      <c r="G150" s="403" t="s">
        <v>464</v>
      </c>
      <c r="H150" s="403"/>
      <c r="I150" s="403" t="s">
        <v>27</v>
      </c>
      <c r="J150" s="403" t="s">
        <v>28</v>
      </c>
      <c r="K150" s="403" t="s">
        <v>137</v>
      </c>
      <c r="L150" s="405" t="s">
        <v>377</v>
      </c>
      <c r="M150" s="406">
        <v>287</v>
      </c>
      <c r="N150" s="406"/>
      <c r="O150" s="406"/>
      <c r="P150" s="406"/>
      <c r="Q150" s="406"/>
      <c r="R150" s="406">
        <v>287</v>
      </c>
      <c r="S150" s="403" t="s">
        <v>31</v>
      </c>
      <c r="T150" s="406"/>
      <c r="U150" s="403"/>
      <c r="V150" s="403"/>
    </row>
    <row r="151" spans="1:23" s="407" customFormat="1" hidden="1">
      <c r="A151" s="402">
        <v>150</v>
      </c>
      <c r="B151" s="403" t="s">
        <v>462</v>
      </c>
      <c r="C151" s="404">
        <v>45022</v>
      </c>
      <c r="D151" s="403" t="s">
        <v>463</v>
      </c>
      <c r="E151" s="403" t="s">
        <v>24</v>
      </c>
      <c r="F151" s="403" t="s">
        <v>25</v>
      </c>
      <c r="G151" s="403" t="s">
        <v>464</v>
      </c>
      <c r="H151" s="403"/>
      <c r="I151" s="403" t="s">
        <v>27</v>
      </c>
      <c r="J151" s="403" t="s">
        <v>28</v>
      </c>
      <c r="K151" s="403" t="s">
        <v>148</v>
      </c>
      <c r="L151" s="405" t="s">
        <v>366</v>
      </c>
      <c r="M151" s="406">
        <v>32</v>
      </c>
      <c r="N151" s="406"/>
      <c r="O151" s="406"/>
      <c r="P151" s="406"/>
      <c r="Q151" s="406"/>
      <c r="R151" s="406">
        <v>32</v>
      </c>
      <c r="S151" s="403" t="s">
        <v>31</v>
      </c>
      <c r="T151" s="406"/>
      <c r="U151" s="403"/>
      <c r="V151" s="403"/>
    </row>
    <row r="152" spans="1:23" s="407" customFormat="1" hidden="1">
      <c r="A152" s="402">
        <v>151</v>
      </c>
      <c r="B152" s="403" t="s">
        <v>465</v>
      </c>
      <c r="C152" s="404">
        <v>45025</v>
      </c>
      <c r="D152" s="403" t="s">
        <v>466</v>
      </c>
      <c r="E152" s="403" t="s">
        <v>24</v>
      </c>
      <c r="F152" s="403" t="s">
        <v>25</v>
      </c>
      <c r="G152" s="403" t="s">
        <v>467</v>
      </c>
      <c r="H152" s="403"/>
      <c r="I152" s="403" t="s">
        <v>27</v>
      </c>
      <c r="J152" s="403" t="s">
        <v>28</v>
      </c>
      <c r="K152" s="403" t="s">
        <v>41</v>
      </c>
      <c r="L152" s="405" t="s">
        <v>42</v>
      </c>
      <c r="M152" s="406">
        <v>162</v>
      </c>
      <c r="N152" s="406"/>
      <c r="O152" s="406"/>
      <c r="P152" s="406"/>
      <c r="Q152" s="406"/>
      <c r="R152" s="406">
        <v>162</v>
      </c>
      <c r="S152" s="403" t="s">
        <v>31</v>
      </c>
      <c r="T152" s="406"/>
      <c r="U152" s="403"/>
      <c r="V152" s="403"/>
    </row>
    <row r="153" spans="1:23" s="407" customFormat="1" hidden="1">
      <c r="A153" s="402">
        <v>152</v>
      </c>
      <c r="B153" s="403" t="s">
        <v>465</v>
      </c>
      <c r="C153" s="404">
        <v>45025</v>
      </c>
      <c r="D153" s="403" t="s">
        <v>466</v>
      </c>
      <c r="E153" s="403" t="s">
        <v>24</v>
      </c>
      <c r="F153" s="403" t="s">
        <v>25</v>
      </c>
      <c r="G153" s="403" t="s">
        <v>467</v>
      </c>
      <c r="H153" s="403"/>
      <c r="I153" s="403" t="s">
        <v>27</v>
      </c>
      <c r="J153" s="403" t="s">
        <v>28</v>
      </c>
      <c r="K153" s="403" t="s">
        <v>148</v>
      </c>
      <c r="L153" s="405" t="s">
        <v>366</v>
      </c>
      <c r="M153" s="406">
        <v>216</v>
      </c>
      <c r="N153" s="406"/>
      <c r="O153" s="406"/>
      <c r="P153" s="406"/>
      <c r="Q153" s="406"/>
      <c r="R153" s="406">
        <v>216</v>
      </c>
      <c r="S153" s="403" t="s">
        <v>31</v>
      </c>
      <c r="T153" s="406"/>
      <c r="U153" s="403"/>
      <c r="V153" s="403"/>
    </row>
    <row r="154" spans="1:23" s="407" customFormat="1" hidden="1">
      <c r="A154" s="402">
        <v>153</v>
      </c>
      <c r="B154" s="403" t="s">
        <v>465</v>
      </c>
      <c r="C154" s="404">
        <v>45025</v>
      </c>
      <c r="D154" s="403" t="s">
        <v>466</v>
      </c>
      <c r="E154" s="403" t="s">
        <v>24</v>
      </c>
      <c r="F154" s="403" t="s">
        <v>25</v>
      </c>
      <c r="G154" s="403" t="s">
        <v>467</v>
      </c>
      <c r="H154" s="403"/>
      <c r="I154" s="403" t="s">
        <v>27</v>
      </c>
      <c r="J154" s="403" t="s">
        <v>28</v>
      </c>
      <c r="K154" s="403" t="s">
        <v>155</v>
      </c>
      <c r="L154" s="405" t="s">
        <v>381</v>
      </c>
      <c r="M154" s="406">
        <v>167</v>
      </c>
      <c r="N154" s="406"/>
      <c r="O154" s="406"/>
      <c r="P154" s="406"/>
      <c r="Q154" s="406"/>
      <c r="R154" s="406">
        <v>167</v>
      </c>
      <c r="S154" s="403" t="s">
        <v>31</v>
      </c>
      <c r="T154" s="406"/>
      <c r="U154" s="403"/>
      <c r="V154" s="403"/>
    </row>
    <row r="155" spans="1:23" s="400" customFormat="1" hidden="1">
      <c r="A155" s="394">
        <v>154</v>
      </c>
      <c r="B155" s="395" t="s">
        <v>468</v>
      </c>
      <c r="C155" s="396">
        <v>45029</v>
      </c>
      <c r="D155" s="395" t="s">
        <v>469</v>
      </c>
      <c r="E155" s="395" t="s">
        <v>24</v>
      </c>
      <c r="F155" s="395" t="s">
        <v>25</v>
      </c>
      <c r="G155" s="395" t="s">
        <v>470</v>
      </c>
      <c r="H155" s="395"/>
      <c r="I155" s="395" t="s">
        <v>27</v>
      </c>
      <c r="J155" s="395" t="s">
        <v>28</v>
      </c>
      <c r="K155" s="401" t="s">
        <v>58</v>
      </c>
      <c r="L155" s="397" t="s">
        <v>59</v>
      </c>
      <c r="M155" s="398">
        <v>147</v>
      </c>
      <c r="N155" s="398"/>
      <c r="O155" s="398"/>
      <c r="P155" s="398"/>
      <c r="Q155" s="398"/>
      <c r="R155" s="398">
        <v>147</v>
      </c>
      <c r="S155" s="395" t="s">
        <v>31</v>
      </c>
      <c r="T155" s="398"/>
      <c r="U155" s="395"/>
      <c r="V155" s="395"/>
      <c r="W155" s="399" t="s">
        <v>488</v>
      </c>
    </row>
    <row r="156" spans="1:23" s="400" customFormat="1" hidden="1">
      <c r="A156" s="394">
        <v>155</v>
      </c>
      <c r="B156" s="395" t="s">
        <v>468</v>
      </c>
      <c r="C156" s="396">
        <v>45029</v>
      </c>
      <c r="D156" s="395" t="s">
        <v>469</v>
      </c>
      <c r="E156" s="395" t="s">
        <v>24</v>
      </c>
      <c r="F156" s="395" t="s">
        <v>25</v>
      </c>
      <c r="G156" s="395" t="s">
        <v>470</v>
      </c>
      <c r="H156" s="395"/>
      <c r="I156" s="395" t="s">
        <v>27</v>
      </c>
      <c r="J156" s="395" t="s">
        <v>28</v>
      </c>
      <c r="K156" s="395" t="s">
        <v>137</v>
      </c>
      <c r="L156" s="397" t="s">
        <v>377</v>
      </c>
      <c r="M156" s="398">
        <v>270</v>
      </c>
      <c r="N156" s="398"/>
      <c r="O156" s="398"/>
      <c r="P156" s="398"/>
      <c r="Q156" s="398"/>
      <c r="R156" s="398">
        <v>270</v>
      </c>
      <c r="S156" s="395" t="s">
        <v>31</v>
      </c>
      <c r="T156" s="398"/>
      <c r="U156" s="395"/>
      <c r="V156" s="395"/>
      <c r="W156" s="399" t="s">
        <v>488</v>
      </c>
    </row>
    <row r="157" spans="1:23" s="400" customFormat="1" hidden="1">
      <c r="A157" s="394">
        <v>156</v>
      </c>
      <c r="B157" s="395" t="s">
        <v>471</v>
      </c>
      <c r="C157" s="396">
        <v>45029</v>
      </c>
      <c r="D157" s="395" t="s">
        <v>472</v>
      </c>
      <c r="E157" s="395" t="s">
        <v>24</v>
      </c>
      <c r="F157" s="395" t="s">
        <v>25</v>
      </c>
      <c r="G157" s="395" t="s">
        <v>473</v>
      </c>
      <c r="H157" s="395"/>
      <c r="I157" s="395" t="s">
        <v>27</v>
      </c>
      <c r="J157" s="395" t="s">
        <v>28</v>
      </c>
      <c r="K157" s="395" t="s">
        <v>58</v>
      </c>
      <c r="L157" s="397" t="s">
        <v>59</v>
      </c>
      <c r="M157" s="398">
        <v>42</v>
      </c>
      <c r="N157" s="398"/>
      <c r="O157" s="398"/>
      <c r="P157" s="398"/>
      <c r="Q157" s="398"/>
      <c r="R157" s="398">
        <v>42</v>
      </c>
      <c r="S157" s="395" t="s">
        <v>31</v>
      </c>
      <c r="T157" s="398"/>
      <c r="U157" s="395"/>
      <c r="V157" s="395"/>
      <c r="W157" s="399" t="s">
        <v>488</v>
      </c>
    </row>
    <row r="158" spans="1:23" s="400" customFormat="1" hidden="1">
      <c r="A158" s="394">
        <v>157</v>
      </c>
      <c r="B158" s="395" t="s">
        <v>471</v>
      </c>
      <c r="C158" s="396">
        <v>45029</v>
      </c>
      <c r="D158" s="395" t="s">
        <v>472</v>
      </c>
      <c r="E158" s="395" t="s">
        <v>24</v>
      </c>
      <c r="F158" s="395" t="s">
        <v>25</v>
      </c>
      <c r="G158" s="395" t="s">
        <v>473</v>
      </c>
      <c r="H158" s="395"/>
      <c r="I158" s="395" t="s">
        <v>27</v>
      </c>
      <c r="J158" s="395" t="s">
        <v>28</v>
      </c>
      <c r="K158" s="395" t="s">
        <v>137</v>
      </c>
      <c r="L158" s="397" t="s">
        <v>377</v>
      </c>
      <c r="M158" s="398">
        <v>450</v>
      </c>
      <c r="N158" s="398"/>
      <c r="O158" s="398"/>
      <c r="P158" s="398"/>
      <c r="Q158" s="398"/>
      <c r="R158" s="398">
        <v>450</v>
      </c>
      <c r="S158" s="395" t="s">
        <v>31</v>
      </c>
      <c r="T158" s="398"/>
      <c r="U158" s="395"/>
      <c r="V158" s="395"/>
      <c r="W158" s="399" t="s">
        <v>488</v>
      </c>
    </row>
    <row r="159" spans="1:23" s="400" customFormat="1" hidden="1">
      <c r="A159" s="394">
        <v>158</v>
      </c>
      <c r="B159" s="395" t="s">
        <v>471</v>
      </c>
      <c r="C159" s="396">
        <v>45029</v>
      </c>
      <c r="D159" s="395" t="s">
        <v>472</v>
      </c>
      <c r="E159" s="395" t="s">
        <v>24</v>
      </c>
      <c r="F159" s="395" t="s">
        <v>25</v>
      </c>
      <c r="G159" s="395" t="s">
        <v>473</v>
      </c>
      <c r="H159" s="395"/>
      <c r="I159" s="395" t="s">
        <v>27</v>
      </c>
      <c r="J159" s="395" t="s">
        <v>28</v>
      </c>
      <c r="K159" s="395" t="s">
        <v>125</v>
      </c>
      <c r="L159" s="397" t="s">
        <v>352</v>
      </c>
      <c r="M159" s="398">
        <v>720</v>
      </c>
      <c r="N159" s="398"/>
      <c r="O159" s="398"/>
      <c r="P159" s="398"/>
      <c r="Q159" s="398"/>
      <c r="R159" s="398">
        <v>720</v>
      </c>
      <c r="S159" s="395" t="s">
        <v>31</v>
      </c>
      <c r="T159" s="398"/>
      <c r="U159" s="395"/>
      <c r="V159" s="395"/>
      <c r="W159" s="399" t="s">
        <v>488</v>
      </c>
    </row>
    <row r="160" spans="1:23" s="407" customFormat="1" hidden="1">
      <c r="A160" s="402">
        <v>159</v>
      </c>
      <c r="B160" s="403" t="s">
        <v>474</v>
      </c>
      <c r="C160" s="404">
        <v>45029</v>
      </c>
      <c r="D160" s="403" t="s">
        <v>475</v>
      </c>
      <c r="E160" s="403" t="s">
        <v>24</v>
      </c>
      <c r="F160" s="403" t="s">
        <v>25</v>
      </c>
      <c r="G160" s="403" t="s">
        <v>476</v>
      </c>
      <c r="H160" s="403"/>
      <c r="I160" s="403" t="s">
        <v>27</v>
      </c>
      <c r="J160" s="403" t="s">
        <v>28</v>
      </c>
      <c r="K160" s="403" t="s">
        <v>50</v>
      </c>
      <c r="L160" s="405" t="s">
        <v>51</v>
      </c>
      <c r="M160" s="406">
        <v>68</v>
      </c>
      <c r="N160" s="406"/>
      <c r="O160" s="406"/>
      <c r="P160" s="406"/>
      <c r="Q160" s="406"/>
      <c r="R160" s="406">
        <v>68</v>
      </c>
      <c r="S160" s="403" t="s">
        <v>31</v>
      </c>
      <c r="T160" s="406"/>
      <c r="U160" s="403"/>
      <c r="V160" s="403"/>
    </row>
    <row r="161" spans="1:23" s="407" customFormat="1" hidden="1">
      <c r="A161" s="402">
        <v>160</v>
      </c>
      <c r="B161" s="403" t="s">
        <v>474</v>
      </c>
      <c r="C161" s="404">
        <v>45029</v>
      </c>
      <c r="D161" s="403" t="s">
        <v>475</v>
      </c>
      <c r="E161" s="403" t="s">
        <v>24</v>
      </c>
      <c r="F161" s="403" t="s">
        <v>25</v>
      </c>
      <c r="G161" s="403" t="s">
        <v>476</v>
      </c>
      <c r="H161" s="403"/>
      <c r="I161" s="403" t="s">
        <v>27</v>
      </c>
      <c r="J161" s="403" t="s">
        <v>28</v>
      </c>
      <c r="K161" s="403" t="s">
        <v>148</v>
      </c>
      <c r="L161" s="405" t="s">
        <v>366</v>
      </c>
      <c r="M161" s="406">
        <v>213</v>
      </c>
      <c r="N161" s="406"/>
      <c r="O161" s="406"/>
      <c r="P161" s="406"/>
      <c r="Q161" s="406"/>
      <c r="R161" s="406">
        <v>213</v>
      </c>
      <c r="S161" s="403" t="s">
        <v>31</v>
      </c>
      <c r="T161" s="406"/>
      <c r="U161" s="403"/>
      <c r="V161" s="403"/>
    </row>
    <row r="162" spans="1:23" s="407" customFormat="1" hidden="1">
      <c r="A162" s="402">
        <v>161</v>
      </c>
      <c r="B162" s="403" t="s">
        <v>474</v>
      </c>
      <c r="C162" s="404">
        <v>45029</v>
      </c>
      <c r="D162" s="403" t="s">
        <v>475</v>
      </c>
      <c r="E162" s="403" t="s">
        <v>24</v>
      </c>
      <c r="F162" s="403" t="s">
        <v>25</v>
      </c>
      <c r="G162" s="403" t="s">
        <v>476</v>
      </c>
      <c r="H162" s="403"/>
      <c r="I162" s="403" t="s">
        <v>27</v>
      </c>
      <c r="J162" s="403" t="s">
        <v>28</v>
      </c>
      <c r="K162" s="403" t="s">
        <v>155</v>
      </c>
      <c r="L162" s="405" t="s">
        <v>381</v>
      </c>
      <c r="M162" s="406">
        <v>28</v>
      </c>
      <c r="N162" s="406"/>
      <c r="O162" s="406"/>
      <c r="P162" s="406"/>
      <c r="Q162" s="406"/>
      <c r="R162" s="406">
        <v>28</v>
      </c>
      <c r="S162" s="403" t="s">
        <v>31</v>
      </c>
      <c r="T162" s="406"/>
      <c r="U162" s="403"/>
      <c r="V162" s="403"/>
    </row>
    <row r="163" spans="1:23" s="407" customFormat="1" hidden="1">
      <c r="A163" s="402">
        <v>162</v>
      </c>
      <c r="B163" s="403" t="s">
        <v>474</v>
      </c>
      <c r="C163" s="404">
        <v>45029</v>
      </c>
      <c r="D163" s="403" t="s">
        <v>475</v>
      </c>
      <c r="E163" s="403" t="s">
        <v>24</v>
      </c>
      <c r="F163" s="403" t="s">
        <v>25</v>
      </c>
      <c r="G163" s="403" t="s">
        <v>476</v>
      </c>
      <c r="H163" s="403"/>
      <c r="I163" s="403" t="s">
        <v>27</v>
      </c>
      <c r="J163" s="403" t="s">
        <v>28</v>
      </c>
      <c r="K163" s="403" t="s">
        <v>41</v>
      </c>
      <c r="L163" s="405" t="s">
        <v>42</v>
      </c>
      <c r="M163" s="406">
        <v>879</v>
      </c>
      <c r="N163" s="406"/>
      <c r="O163" s="406"/>
      <c r="P163" s="406"/>
      <c r="Q163" s="406"/>
      <c r="R163" s="406">
        <v>879</v>
      </c>
      <c r="S163" s="403" t="s">
        <v>31</v>
      </c>
      <c r="T163" s="406"/>
      <c r="U163" s="403"/>
      <c r="V163" s="403"/>
    </row>
    <row r="164" spans="1:23" s="407" customFormat="1" hidden="1">
      <c r="A164" s="402">
        <v>163</v>
      </c>
      <c r="B164" s="403" t="s">
        <v>474</v>
      </c>
      <c r="C164" s="404">
        <v>45029</v>
      </c>
      <c r="D164" s="403" t="s">
        <v>475</v>
      </c>
      <c r="E164" s="403" t="s">
        <v>24</v>
      </c>
      <c r="F164" s="403" t="s">
        <v>25</v>
      </c>
      <c r="G164" s="403" t="s">
        <v>476</v>
      </c>
      <c r="H164" s="403"/>
      <c r="I164" s="403" t="s">
        <v>27</v>
      </c>
      <c r="J164" s="403" t="s">
        <v>28</v>
      </c>
      <c r="K164" s="403" t="s">
        <v>146</v>
      </c>
      <c r="L164" s="405" t="s">
        <v>356</v>
      </c>
      <c r="M164" s="406">
        <v>42</v>
      </c>
      <c r="N164" s="406"/>
      <c r="O164" s="406"/>
      <c r="P164" s="406"/>
      <c r="Q164" s="406"/>
      <c r="R164" s="406">
        <v>42</v>
      </c>
      <c r="S164" s="403" t="s">
        <v>31</v>
      </c>
      <c r="T164" s="406"/>
      <c r="U164" s="403"/>
      <c r="V164" s="403"/>
    </row>
    <row r="165" spans="1:23" s="400" customFormat="1" hidden="1">
      <c r="A165" s="394">
        <v>164</v>
      </c>
      <c r="B165" s="395" t="s">
        <v>477</v>
      </c>
      <c r="C165" s="396">
        <v>45041</v>
      </c>
      <c r="D165" s="395" t="s">
        <v>478</v>
      </c>
      <c r="E165" s="395" t="s">
        <v>24</v>
      </c>
      <c r="F165" s="395" t="s">
        <v>25</v>
      </c>
      <c r="G165" s="395" t="s">
        <v>479</v>
      </c>
      <c r="H165" s="395"/>
      <c r="I165" s="395" t="s">
        <v>27</v>
      </c>
      <c r="J165" s="395" t="s">
        <v>28</v>
      </c>
      <c r="K165" s="395" t="s">
        <v>58</v>
      </c>
      <c r="L165" s="397" t="s">
        <v>59</v>
      </c>
      <c r="M165" s="398">
        <v>111</v>
      </c>
      <c r="N165" s="398"/>
      <c r="O165" s="398"/>
      <c r="P165" s="398"/>
      <c r="Q165" s="398"/>
      <c r="R165" s="398">
        <v>111</v>
      </c>
      <c r="S165" s="395" t="s">
        <v>31</v>
      </c>
      <c r="T165" s="398"/>
      <c r="U165" s="395"/>
      <c r="V165" s="395"/>
      <c r="W165" s="399" t="s">
        <v>488</v>
      </c>
    </row>
    <row r="166" spans="1:23" s="400" customFormat="1" hidden="1">
      <c r="A166" s="394">
        <v>165</v>
      </c>
      <c r="B166" s="395" t="s">
        <v>477</v>
      </c>
      <c r="C166" s="396">
        <v>45041</v>
      </c>
      <c r="D166" s="395" t="s">
        <v>478</v>
      </c>
      <c r="E166" s="395" t="s">
        <v>24</v>
      </c>
      <c r="F166" s="395" t="s">
        <v>25</v>
      </c>
      <c r="G166" s="395" t="s">
        <v>479</v>
      </c>
      <c r="H166" s="395"/>
      <c r="I166" s="395" t="s">
        <v>27</v>
      </c>
      <c r="J166" s="395" t="s">
        <v>28</v>
      </c>
      <c r="K166" s="395" t="s">
        <v>125</v>
      </c>
      <c r="L166" s="397" t="s">
        <v>352</v>
      </c>
      <c r="M166" s="398">
        <v>1080</v>
      </c>
      <c r="N166" s="398"/>
      <c r="O166" s="398"/>
      <c r="P166" s="398"/>
      <c r="Q166" s="398"/>
      <c r="R166" s="398">
        <v>1080</v>
      </c>
      <c r="S166" s="395" t="s">
        <v>31</v>
      </c>
      <c r="T166" s="398"/>
      <c r="U166" s="395"/>
      <c r="V166" s="395"/>
      <c r="W166" s="399" t="s">
        <v>488</v>
      </c>
    </row>
    <row r="167" spans="1:23" s="400" customFormat="1" hidden="1">
      <c r="A167" s="394">
        <v>166</v>
      </c>
      <c r="B167" s="395" t="s">
        <v>480</v>
      </c>
      <c r="C167" s="396">
        <v>45040</v>
      </c>
      <c r="D167" s="395" t="s">
        <v>481</v>
      </c>
      <c r="E167" s="395" t="s">
        <v>24</v>
      </c>
      <c r="F167" s="395" t="s">
        <v>25</v>
      </c>
      <c r="G167" s="395" t="s">
        <v>482</v>
      </c>
      <c r="H167" s="395"/>
      <c r="I167" s="395" t="s">
        <v>27</v>
      </c>
      <c r="J167" s="395" t="s">
        <v>28</v>
      </c>
      <c r="K167" s="395" t="s">
        <v>125</v>
      </c>
      <c r="L167" s="397" t="s">
        <v>352</v>
      </c>
      <c r="M167" s="398">
        <v>1200</v>
      </c>
      <c r="N167" s="398"/>
      <c r="O167" s="398"/>
      <c r="P167" s="398"/>
      <c r="Q167" s="398"/>
      <c r="R167" s="398">
        <v>1200</v>
      </c>
      <c r="S167" s="395" t="s">
        <v>31</v>
      </c>
      <c r="T167" s="398"/>
      <c r="U167" s="395"/>
      <c r="V167" s="395"/>
      <c r="W167" s="399" t="s">
        <v>488</v>
      </c>
    </row>
    <row r="168" spans="1:23" s="473" customFormat="1">
      <c r="A168" s="468">
        <v>167</v>
      </c>
      <c r="B168" s="469" t="s">
        <v>483</v>
      </c>
      <c r="C168" s="470">
        <v>45053</v>
      </c>
      <c r="D168" s="469" t="s">
        <v>484</v>
      </c>
      <c r="E168" s="469" t="s">
        <v>24</v>
      </c>
      <c r="F168" s="469" t="s">
        <v>25</v>
      </c>
      <c r="G168" s="469" t="s">
        <v>485</v>
      </c>
      <c r="H168" s="469" t="s">
        <v>486</v>
      </c>
      <c r="I168" s="469" t="s">
        <v>27</v>
      </c>
      <c r="J168" s="469" t="s">
        <v>28</v>
      </c>
      <c r="K168" s="469" t="s">
        <v>87</v>
      </c>
      <c r="L168" s="471" t="s">
        <v>88</v>
      </c>
      <c r="M168" s="472">
        <v>328.9</v>
      </c>
      <c r="N168" s="472"/>
      <c r="O168" s="472"/>
      <c r="P168" s="472"/>
      <c r="Q168" s="472"/>
      <c r="R168" s="472">
        <v>328.9</v>
      </c>
      <c r="S168" s="469" t="s">
        <v>65</v>
      </c>
      <c r="T168" s="472">
        <v>542.6</v>
      </c>
      <c r="U168" s="469"/>
      <c r="V168" s="469"/>
    </row>
    <row r="169" spans="1:23" s="473" customFormat="1">
      <c r="A169" s="468">
        <v>168</v>
      </c>
      <c r="B169" s="469" t="s">
        <v>483</v>
      </c>
      <c r="C169" s="470">
        <v>45053</v>
      </c>
      <c r="D169" s="469" t="s">
        <v>484</v>
      </c>
      <c r="E169" s="469" t="s">
        <v>24</v>
      </c>
      <c r="F169" s="469" t="s">
        <v>25</v>
      </c>
      <c r="G169" s="469" t="s">
        <v>485</v>
      </c>
      <c r="H169" s="469" t="s">
        <v>486</v>
      </c>
      <c r="I169" s="469" t="s">
        <v>27</v>
      </c>
      <c r="J169" s="469" t="s">
        <v>28</v>
      </c>
      <c r="K169" s="469" t="s">
        <v>63</v>
      </c>
      <c r="L169" s="471" t="s">
        <v>64</v>
      </c>
      <c r="M169" s="472">
        <v>1030.5</v>
      </c>
      <c r="N169" s="472"/>
      <c r="O169" s="472"/>
      <c r="P169" s="472"/>
      <c r="Q169" s="472"/>
      <c r="R169" s="472">
        <v>1030.5</v>
      </c>
      <c r="S169" s="469" t="s">
        <v>65</v>
      </c>
      <c r="T169" s="472">
        <v>2267</v>
      </c>
      <c r="U169" s="469"/>
      <c r="V169" s="469"/>
    </row>
    <row r="170" spans="1:23" s="473" customFormat="1">
      <c r="A170" s="468">
        <v>169</v>
      </c>
      <c r="B170" s="469" t="s">
        <v>483</v>
      </c>
      <c r="C170" s="470">
        <v>45053</v>
      </c>
      <c r="D170" s="469" t="s">
        <v>484</v>
      </c>
      <c r="E170" s="469" t="s">
        <v>24</v>
      </c>
      <c r="F170" s="469" t="s">
        <v>25</v>
      </c>
      <c r="G170" s="469" t="s">
        <v>485</v>
      </c>
      <c r="H170" s="469" t="s">
        <v>486</v>
      </c>
      <c r="I170" s="469" t="s">
        <v>27</v>
      </c>
      <c r="J170" s="469" t="s">
        <v>28</v>
      </c>
      <c r="K170" s="469" t="s">
        <v>66</v>
      </c>
      <c r="L170" s="471" t="s">
        <v>67</v>
      </c>
      <c r="M170" s="472">
        <v>125.4</v>
      </c>
      <c r="N170" s="472"/>
      <c r="O170" s="472"/>
      <c r="P170" s="472"/>
      <c r="Q170" s="472"/>
      <c r="R170" s="472">
        <v>125.4</v>
      </c>
      <c r="S170" s="469" t="s">
        <v>65</v>
      </c>
      <c r="T170" s="472">
        <v>345</v>
      </c>
      <c r="U170" s="469"/>
      <c r="V170" s="469"/>
    </row>
    <row r="171" spans="1:23" hidden="1">
      <c r="M171" s="2">
        <f>SUM(M2:M170)</f>
        <v>618344.97999999986</v>
      </c>
      <c r="R171" s="2">
        <f>SUM(R2:R170)</f>
        <v>618344.97999999986</v>
      </c>
    </row>
    <row r="172" spans="1:23" hidden="1"/>
    <row r="173" spans="1:23" hidden="1"/>
    <row r="174" spans="1:23" hidden="1"/>
    <row r="175" spans="1:23" hidden="1"/>
    <row r="176" spans="1:23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</sheetData>
  <sheetProtection formatCells="0" formatColumns="0" formatRows="0" insertColumns="0" insertRows="0" insertHyperlinks="0" deleteColumns="0" deleteRows="0" sort="0" autoFilter="0" pivotTables="0"/>
  <autoFilter ref="A1:Z211" xr:uid="{00000000-0001-0000-0000-000000000000}">
    <filterColumn colId="3">
      <filters>
        <filter val="SACR-PL-JAY-098-056"/>
      </filters>
    </filterColumn>
  </autoFilter>
  <sortState xmlns:xlrd2="http://schemas.microsoft.com/office/spreadsheetml/2017/richdata2" ref="A2:V210">
    <sortCondition ref="D1:D21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9BD-85FD-4F26-A006-631945D988A4}">
  <dimension ref="A1:U86"/>
  <sheetViews>
    <sheetView rightToLeft="1" topLeftCell="E58" workbookViewId="0">
      <selection activeCell="N2" sqref="N2"/>
    </sheetView>
  </sheetViews>
  <sheetFormatPr defaultRowHeight="15"/>
  <cols>
    <col min="4" max="4" width="14.5703125" customWidth="1"/>
    <col min="5" max="5" width="86.85546875" style="22" bestFit="1" customWidth="1"/>
    <col min="7" max="7" width="11.5703125" style="27" bestFit="1" customWidth="1"/>
    <col min="13" max="13" width="11.5703125" bestFit="1" customWidth="1"/>
    <col min="14" max="14" width="11.5703125" customWidth="1"/>
    <col min="16" max="16" width="14.28515625" style="28" bestFit="1" customWidth="1"/>
    <col min="17" max="18" width="11.5703125" bestFit="1" customWidth="1"/>
    <col min="19" max="19" width="14.28515625" bestFit="1" customWidth="1"/>
    <col min="20" max="20" width="10.5703125" style="27" bestFit="1" customWidth="1"/>
    <col min="21" max="21" width="10.5703125" bestFit="1" customWidth="1"/>
  </cols>
  <sheetData>
    <row r="1" spans="1:20" s="26" customFormat="1" ht="22.5">
      <c r="A1" s="23" t="s">
        <v>0</v>
      </c>
      <c r="B1" s="23" t="s">
        <v>113</v>
      </c>
      <c r="C1" s="23" t="s">
        <v>8</v>
      </c>
      <c r="D1" s="23" t="s">
        <v>10</v>
      </c>
      <c r="E1" s="24" t="s">
        <v>11</v>
      </c>
      <c r="F1" s="23" t="s">
        <v>18</v>
      </c>
      <c r="G1" s="29" t="s">
        <v>114</v>
      </c>
      <c r="H1" s="25" t="s">
        <v>115</v>
      </c>
      <c r="I1" s="25" t="s">
        <v>116</v>
      </c>
      <c r="J1" s="25" t="s">
        <v>247</v>
      </c>
      <c r="K1" s="25" t="s">
        <v>248</v>
      </c>
      <c r="L1" s="25" t="s">
        <v>249</v>
      </c>
      <c r="M1" s="25" t="s">
        <v>250</v>
      </c>
      <c r="N1" s="25" t="s">
        <v>252</v>
      </c>
      <c r="O1" s="25" t="s">
        <v>251</v>
      </c>
      <c r="P1" s="33" t="s">
        <v>232</v>
      </c>
      <c r="Q1" s="40">
        <v>0.3</v>
      </c>
      <c r="R1" s="26" t="s">
        <v>243</v>
      </c>
      <c r="S1" s="26" t="s">
        <v>244</v>
      </c>
      <c r="T1" s="43" t="s">
        <v>253</v>
      </c>
    </row>
    <row r="2" spans="1:20">
      <c r="A2" s="8">
        <v>1</v>
      </c>
      <c r="B2" s="8" t="s">
        <v>117</v>
      </c>
      <c r="C2" s="8" t="s">
        <v>28</v>
      </c>
      <c r="D2" s="8" t="s">
        <v>118</v>
      </c>
      <c r="E2" s="19" t="s">
        <v>119</v>
      </c>
      <c r="F2" s="8" t="s">
        <v>31</v>
      </c>
      <c r="G2" s="30">
        <v>277.5</v>
      </c>
      <c r="H2" s="9" t="s">
        <v>28</v>
      </c>
      <c r="I2" s="10" t="s">
        <v>28</v>
      </c>
      <c r="J2" s="10"/>
      <c r="K2" s="10"/>
      <c r="L2" s="10"/>
      <c r="M2" s="10"/>
      <c r="N2" s="10">
        <f>SUM(J2:M2)</f>
        <v>0</v>
      </c>
      <c r="O2" s="8">
        <v>1.077</v>
      </c>
      <c r="P2" s="28">
        <f>G2*O2</f>
        <v>298.86750000000001</v>
      </c>
      <c r="Q2" s="28">
        <f>P2*$Q$1</f>
        <v>89.660250000000005</v>
      </c>
      <c r="R2" s="41">
        <v>290271</v>
      </c>
      <c r="S2" s="41">
        <f>Q2*R2</f>
        <v>26025770.427750003</v>
      </c>
      <c r="T2" s="27">
        <f>N2*O2</f>
        <v>0</v>
      </c>
    </row>
    <row r="3" spans="1:20">
      <c r="A3" s="11">
        <v>2</v>
      </c>
      <c r="B3" s="11" t="s">
        <v>117</v>
      </c>
      <c r="C3" s="11" t="s">
        <v>28</v>
      </c>
      <c r="D3" s="11" t="s">
        <v>35</v>
      </c>
      <c r="E3" s="20" t="s">
        <v>120</v>
      </c>
      <c r="F3" s="11" t="s">
        <v>31</v>
      </c>
      <c r="G3" s="31">
        <v>22</v>
      </c>
      <c r="H3" s="12">
        <v>22</v>
      </c>
      <c r="I3" s="12">
        <v>22</v>
      </c>
      <c r="J3" s="12"/>
      <c r="K3" s="12">
        <v>22</v>
      </c>
      <c r="L3" s="12"/>
      <c r="M3" s="12"/>
      <c r="N3" s="10">
        <f t="shared" ref="N3:N66" si="0">SUM(J3:M3)</f>
        <v>22</v>
      </c>
      <c r="O3" s="11">
        <v>1.508</v>
      </c>
      <c r="P3" s="28">
        <f t="shared" ref="P3:P73" si="1">G3*O3</f>
        <v>33.176000000000002</v>
      </c>
      <c r="Q3" s="28">
        <f t="shared" ref="Q3:Q66" si="2">P3*$Q$1</f>
        <v>9.9527999999999999</v>
      </c>
      <c r="R3" s="41">
        <v>290271</v>
      </c>
      <c r="S3" s="41">
        <f t="shared" ref="S3:S66" si="3">Q3*R3</f>
        <v>2889009.2088000001</v>
      </c>
      <c r="T3" s="27">
        <f t="shared" ref="T3:T66" si="4">N3*O3</f>
        <v>33.176000000000002</v>
      </c>
    </row>
    <row r="4" spans="1:20">
      <c r="A4" s="8">
        <v>3</v>
      </c>
      <c r="B4" s="8" t="s">
        <v>117</v>
      </c>
      <c r="C4" s="8" t="s">
        <v>28</v>
      </c>
      <c r="D4" s="8" t="s">
        <v>37</v>
      </c>
      <c r="E4" s="19" t="s">
        <v>121</v>
      </c>
      <c r="F4" s="8" t="s">
        <v>31</v>
      </c>
      <c r="G4" s="30">
        <v>1.5</v>
      </c>
      <c r="H4" s="10">
        <v>2</v>
      </c>
      <c r="I4" s="10">
        <v>2</v>
      </c>
      <c r="J4" s="10"/>
      <c r="K4" s="10">
        <v>1.5</v>
      </c>
      <c r="L4" s="10"/>
      <c r="M4" s="10"/>
      <c r="N4" s="10">
        <f t="shared" si="0"/>
        <v>1.5</v>
      </c>
      <c r="O4" s="8">
        <v>2.2970000000000002</v>
      </c>
      <c r="P4" s="28">
        <f t="shared" si="1"/>
        <v>3.4455</v>
      </c>
      <c r="Q4" s="28">
        <f t="shared" si="2"/>
        <v>1.03365</v>
      </c>
      <c r="R4" s="41">
        <v>290271</v>
      </c>
      <c r="S4" s="41">
        <f t="shared" si="3"/>
        <v>300038.61914999998</v>
      </c>
      <c r="T4" s="27">
        <f t="shared" si="4"/>
        <v>3.4455</v>
      </c>
    </row>
    <row r="5" spans="1:20">
      <c r="A5" s="11">
        <v>4</v>
      </c>
      <c r="B5" s="11" t="s">
        <v>117</v>
      </c>
      <c r="C5" s="11" t="s">
        <v>28</v>
      </c>
      <c r="D5" s="11" t="s">
        <v>48</v>
      </c>
      <c r="E5" s="20" t="s">
        <v>122</v>
      </c>
      <c r="F5" s="11" t="s">
        <v>31</v>
      </c>
      <c r="G5" s="31">
        <v>1558</v>
      </c>
      <c r="H5" s="13">
        <v>1558</v>
      </c>
      <c r="I5" s="13">
        <v>1558</v>
      </c>
      <c r="J5" s="13"/>
      <c r="K5" s="13">
        <v>1558</v>
      </c>
      <c r="L5" s="13"/>
      <c r="M5" s="13"/>
      <c r="N5" s="10">
        <f t="shared" si="0"/>
        <v>1558</v>
      </c>
      <c r="O5" s="11">
        <v>1.149</v>
      </c>
      <c r="P5" s="28">
        <f t="shared" si="1"/>
        <v>1790.1420000000001</v>
      </c>
      <c r="Q5" s="28">
        <f t="shared" si="2"/>
        <v>537.04259999999999</v>
      </c>
      <c r="R5" s="41">
        <v>290271</v>
      </c>
      <c r="S5" s="41">
        <f t="shared" si="3"/>
        <v>155887892.54460001</v>
      </c>
      <c r="T5" s="27">
        <f t="shared" si="4"/>
        <v>1790.1420000000001</v>
      </c>
    </row>
    <row r="6" spans="1:20">
      <c r="A6" s="8">
        <v>5</v>
      </c>
      <c r="B6" s="8" t="s">
        <v>117</v>
      </c>
      <c r="C6" s="8" t="s">
        <v>28</v>
      </c>
      <c r="D6" s="8" t="s">
        <v>50</v>
      </c>
      <c r="E6" s="19" t="s">
        <v>123</v>
      </c>
      <c r="F6" s="8" t="s">
        <v>31</v>
      </c>
      <c r="G6" s="30">
        <v>122.5</v>
      </c>
      <c r="H6" s="10">
        <v>123</v>
      </c>
      <c r="I6" s="10">
        <v>123</v>
      </c>
      <c r="J6" s="10"/>
      <c r="K6" s="10">
        <v>122.5</v>
      </c>
      <c r="L6" s="10"/>
      <c r="M6" s="10"/>
      <c r="N6" s="10">
        <f t="shared" si="0"/>
        <v>122.5</v>
      </c>
      <c r="O6" s="8">
        <v>1.7230000000000001</v>
      </c>
      <c r="P6" s="28">
        <f t="shared" si="1"/>
        <v>211.06750000000002</v>
      </c>
      <c r="Q6" s="28">
        <f t="shared" si="2"/>
        <v>63.320250000000001</v>
      </c>
      <c r="R6" s="41">
        <v>290271</v>
      </c>
      <c r="S6" s="41">
        <f t="shared" si="3"/>
        <v>18380032.287750002</v>
      </c>
      <c r="T6" s="27">
        <f t="shared" si="4"/>
        <v>211.06750000000002</v>
      </c>
    </row>
    <row r="7" spans="1:20">
      <c r="A7" s="11">
        <v>6</v>
      </c>
      <c r="B7" s="11" t="s">
        <v>117</v>
      </c>
      <c r="C7" s="11" t="s">
        <v>28</v>
      </c>
      <c r="D7" s="11" t="s">
        <v>52</v>
      </c>
      <c r="E7" s="20" t="s">
        <v>124</v>
      </c>
      <c r="F7" s="11" t="s">
        <v>31</v>
      </c>
      <c r="G7" s="31">
        <v>4.5</v>
      </c>
      <c r="H7" s="12">
        <v>5</v>
      </c>
      <c r="I7" s="12">
        <v>5</v>
      </c>
      <c r="J7" s="12"/>
      <c r="K7" s="12">
        <v>4.5</v>
      </c>
      <c r="L7" s="12"/>
      <c r="M7" s="12"/>
      <c r="N7" s="10">
        <f t="shared" si="0"/>
        <v>4.5</v>
      </c>
      <c r="O7" s="11">
        <v>2.44</v>
      </c>
      <c r="P7" s="28">
        <f t="shared" si="1"/>
        <v>10.98</v>
      </c>
      <c r="Q7" s="28">
        <f t="shared" si="2"/>
        <v>3.294</v>
      </c>
      <c r="R7" s="41">
        <v>290271</v>
      </c>
      <c r="S7" s="41">
        <f t="shared" si="3"/>
        <v>956152.674</v>
      </c>
      <c r="T7" s="27">
        <f t="shared" si="4"/>
        <v>10.98</v>
      </c>
    </row>
    <row r="8" spans="1:20">
      <c r="A8" s="8">
        <v>7</v>
      </c>
      <c r="B8" s="8" t="s">
        <v>117</v>
      </c>
      <c r="C8" s="8" t="s">
        <v>28</v>
      </c>
      <c r="D8" s="8" t="s">
        <v>125</v>
      </c>
      <c r="E8" s="19" t="s">
        <v>126</v>
      </c>
      <c r="F8" s="8" t="s">
        <v>31</v>
      </c>
      <c r="G8" s="30">
        <v>1104.5</v>
      </c>
      <c r="H8" s="9" t="s">
        <v>28</v>
      </c>
      <c r="I8" s="10" t="s">
        <v>28</v>
      </c>
      <c r="J8" s="10"/>
      <c r="K8" s="10"/>
      <c r="L8" s="10"/>
      <c r="M8" s="10"/>
      <c r="N8" s="10">
        <f t="shared" si="0"/>
        <v>0</v>
      </c>
      <c r="O8" s="8">
        <v>1.1919999999999999</v>
      </c>
      <c r="P8" s="28">
        <f t="shared" si="1"/>
        <v>1316.5639999999999</v>
      </c>
      <c r="Q8" s="28">
        <f t="shared" si="2"/>
        <v>394.96919999999994</v>
      </c>
      <c r="R8" s="41">
        <v>290271</v>
      </c>
      <c r="S8" s="41">
        <f t="shared" si="3"/>
        <v>114648104.65319999</v>
      </c>
      <c r="T8" s="27">
        <f t="shared" si="4"/>
        <v>0</v>
      </c>
    </row>
    <row r="9" spans="1:20">
      <c r="A9" s="11">
        <v>8</v>
      </c>
      <c r="B9" s="11" t="s">
        <v>117</v>
      </c>
      <c r="C9" s="11" t="s">
        <v>28</v>
      </c>
      <c r="D9" s="11" t="s">
        <v>127</v>
      </c>
      <c r="E9" s="20" t="s">
        <v>128</v>
      </c>
      <c r="F9" s="11" t="s">
        <v>31</v>
      </c>
      <c r="G9" s="31">
        <v>323.5</v>
      </c>
      <c r="H9" s="14" t="s">
        <v>28</v>
      </c>
      <c r="I9" s="12" t="s">
        <v>28</v>
      </c>
      <c r="J9" s="12"/>
      <c r="K9" s="12"/>
      <c r="L9" s="12"/>
      <c r="M9" s="12"/>
      <c r="N9" s="10">
        <f t="shared" si="0"/>
        <v>0</v>
      </c>
      <c r="O9" s="11">
        <v>1.7949999999999999</v>
      </c>
      <c r="P9" s="28">
        <f t="shared" si="1"/>
        <v>580.6825</v>
      </c>
      <c r="Q9" s="28">
        <f t="shared" si="2"/>
        <v>174.20474999999999</v>
      </c>
      <c r="R9" s="41">
        <v>290271</v>
      </c>
      <c r="S9" s="41">
        <f t="shared" si="3"/>
        <v>50566586.98725</v>
      </c>
      <c r="T9" s="27">
        <f t="shared" si="4"/>
        <v>0</v>
      </c>
    </row>
    <row r="10" spans="1:20">
      <c r="A10" s="8">
        <v>9</v>
      </c>
      <c r="B10" s="8" t="s">
        <v>117</v>
      </c>
      <c r="C10" s="8" t="s">
        <v>28</v>
      </c>
      <c r="D10" s="8" t="s">
        <v>39</v>
      </c>
      <c r="E10" s="19" t="s">
        <v>129</v>
      </c>
      <c r="F10" s="8" t="s">
        <v>31</v>
      </c>
      <c r="G10" s="30">
        <v>3.5</v>
      </c>
      <c r="H10" s="10">
        <v>4</v>
      </c>
      <c r="I10" s="10">
        <v>4</v>
      </c>
      <c r="J10" s="10"/>
      <c r="K10" s="10">
        <v>3.5</v>
      </c>
      <c r="L10" s="10"/>
      <c r="M10" s="10"/>
      <c r="N10" s="10">
        <f t="shared" si="0"/>
        <v>3.5</v>
      </c>
      <c r="O10" s="8">
        <v>2.6560000000000001</v>
      </c>
      <c r="P10" s="28">
        <f t="shared" si="1"/>
        <v>9.2960000000000012</v>
      </c>
      <c r="Q10" s="28">
        <f t="shared" si="2"/>
        <v>2.7888000000000002</v>
      </c>
      <c r="R10" s="41">
        <v>290271</v>
      </c>
      <c r="S10" s="41">
        <f t="shared" si="3"/>
        <v>809507.7648</v>
      </c>
      <c r="T10" s="27">
        <f t="shared" si="4"/>
        <v>9.2960000000000012</v>
      </c>
    </row>
    <row r="11" spans="1:20">
      <c r="A11" s="11">
        <v>10</v>
      </c>
      <c r="B11" s="11" t="s">
        <v>117</v>
      </c>
      <c r="C11" s="11" t="s">
        <v>28</v>
      </c>
      <c r="D11" s="11" t="s">
        <v>130</v>
      </c>
      <c r="E11" s="20" t="s">
        <v>131</v>
      </c>
      <c r="F11" s="11" t="s">
        <v>31</v>
      </c>
      <c r="G11" s="31">
        <v>1697.5</v>
      </c>
      <c r="H11" s="14" t="s">
        <v>28</v>
      </c>
      <c r="I11" s="12" t="s">
        <v>28</v>
      </c>
      <c r="J11" s="12"/>
      <c r="K11" s="12"/>
      <c r="L11" s="12"/>
      <c r="M11" s="12"/>
      <c r="N11" s="10">
        <f t="shared" si="0"/>
        <v>0</v>
      </c>
      <c r="O11" s="11">
        <v>1.508</v>
      </c>
      <c r="P11" s="28">
        <f t="shared" si="1"/>
        <v>2559.83</v>
      </c>
      <c r="Q11" s="28">
        <f t="shared" si="2"/>
        <v>767.94899999999996</v>
      </c>
      <c r="R11" s="41">
        <v>290271</v>
      </c>
      <c r="S11" s="41">
        <f t="shared" si="3"/>
        <v>222913324.17899999</v>
      </c>
      <c r="T11" s="27">
        <f t="shared" si="4"/>
        <v>0</v>
      </c>
    </row>
    <row r="12" spans="1:20">
      <c r="A12" s="8">
        <v>11</v>
      </c>
      <c r="B12" s="8" t="s">
        <v>117</v>
      </c>
      <c r="C12" s="8" t="s">
        <v>28</v>
      </c>
      <c r="D12" s="8" t="s">
        <v>132</v>
      </c>
      <c r="E12" s="19" t="s">
        <v>133</v>
      </c>
      <c r="F12" s="8" t="s">
        <v>31</v>
      </c>
      <c r="G12" s="30">
        <v>131</v>
      </c>
      <c r="H12" s="9" t="s">
        <v>28</v>
      </c>
      <c r="I12" s="10" t="s">
        <v>28</v>
      </c>
      <c r="J12" s="10"/>
      <c r="K12" s="10"/>
      <c r="L12" s="10"/>
      <c r="M12" s="10"/>
      <c r="N12" s="10">
        <f t="shared" si="0"/>
        <v>0</v>
      </c>
      <c r="O12" s="8">
        <v>2.1040000000000001</v>
      </c>
      <c r="P12" s="28">
        <f t="shared" si="1"/>
        <v>275.62400000000002</v>
      </c>
      <c r="Q12" s="28">
        <f t="shared" si="2"/>
        <v>82.687200000000004</v>
      </c>
      <c r="R12" s="41">
        <v>290271</v>
      </c>
      <c r="S12" s="41">
        <f t="shared" si="3"/>
        <v>24001696.231200002</v>
      </c>
      <c r="T12" s="27">
        <f t="shared" si="4"/>
        <v>0</v>
      </c>
    </row>
    <row r="13" spans="1:20">
      <c r="A13" s="11">
        <v>12</v>
      </c>
      <c r="B13" s="11" t="s">
        <v>117</v>
      </c>
      <c r="C13" s="11" t="s">
        <v>28</v>
      </c>
      <c r="D13" s="11" t="s">
        <v>134</v>
      </c>
      <c r="E13" s="20" t="s">
        <v>135</v>
      </c>
      <c r="F13" s="11" t="s">
        <v>31</v>
      </c>
      <c r="G13" s="31">
        <v>1.5</v>
      </c>
      <c r="H13" s="14" t="s">
        <v>28</v>
      </c>
      <c r="I13" s="12" t="s">
        <v>28</v>
      </c>
      <c r="J13" s="12"/>
      <c r="K13" s="12"/>
      <c r="L13" s="12"/>
      <c r="M13" s="12"/>
      <c r="N13" s="10">
        <f t="shared" si="0"/>
        <v>0</v>
      </c>
      <c r="O13" s="11">
        <v>2.9430000000000001</v>
      </c>
      <c r="P13" s="28">
        <f t="shared" si="1"/>
        <v>4.4145000000000003</v>
      </c>
      <c r="Q13" s="28">
        <f t="shared" si="2"/>
        <v>1.3243500000000001</v>
      </c>
      <c r="R13" s="41">
        <v>290271</v>
      </c>
      <c r="S13" s="41">
        <f t="shared" si="3"/>
        <v>384420.39885000006</v>
      </c>
      <c r="T13" s="27">
        <f t="shared" si="4"/>
        <v>0</v>
      </c>
    </row>
    <row r="14" spans="1:20">
      <c r="A14" s="8">
        <v>13</v>
      </c>
      <c r="B14" s="8" t="s">
        <v>117</v>
      </c>
      <c r="C14" s="8" t="s">
        <v>28</v>
      </c>
      <c r="D14" s="8" t="s">
        <v>41</v>
      </c>
      <c r="E14" s="19" t="s">
        <v>136</v>
      </c>
      <c r="F14" s="8" t="s">
        <v>31</v>
      </c>
      <c r="G14" s="30">
        <v>2009</v>
      </c>
      <c r="H14" s="9">
        <v>110</v>
      </c>
      <c r="I14" s="10">
        <v>110</v>
      </c>
      <c r="J14" s="10">
        <v>110</v>
      </c>
      <c r="K14" s="10"/>
      <c r="L14" s="10"/>
      <c r="M14" s="10"/>
      <c r="N14" s="10">
        <f t="shared" si="0"/>
        <v>110</v>
      </c>
      <c r="O14" s="8">
        <v>1.579</v>
      </c>
      <c r="P14" s="28">
        <f t="shared" si="1"/>
        <v>3172.2109999999998</v>
      </c>
      <c r="Q14" s="28">
        <f t="shared" si="2"/>
        <v>951.66329999999994</v>
      </c>
      <c r="R14" s="41">
        <v>290271</v>
      </c>
      <c r="S14" s="41">
        <f t="shared" si="3"/>
        <v>276240257.7543</v>
      </c>
      <c r="T14" s="27">
        <f t="shared" si="4"/>
        <v>173.69</v>
      </c>
    </row>
    <row r="15" spans="1:20">
      <c r="A15" s="11">
        <v>14</v>
      </c>
      <c r="B15" s="11" t="s">
        <v>117</v>
      </c>
      <c r="C15" s="11" t="s">
        <v>28</v>
      </c>
      <c r="D15" s="11" t="s">
        <v>137</v>
      </c>
      <c r="E15" s="20" t="s">
        <v>138</v>
      </c>
      <c r="F15" s="11" t="s">
        <v>31</v>
      </c>
      <c r="G15" s="31">
        <v>956</v>
      </c>
      <c r="H15" s="14" t="s">
        <v>28</v>
      </c>
      <c r="I15" s="12" t="s">
        <v>28</v>
      </c>
      <c r="J15" s="12"/>
      <c r="K15" s="12"/>
      <c r="L15" s="12"/>
      <c r="M15" s="12"/>
      <c r="N15" s="10">
        <f t="shared" si="0"/>
        <v>0</v>
      </c>
      <c r="O15" s="11">
        <v>2.44</v>
      </c>
      <c r="P15" s="28">
        <f t="shared" si="1"/>
        <v>2332.64</v>
      </c>
      <c r="Q15" s="28">
        <f t="shared" si="2"/>
        <v>699.79199999999992</v>
      </c>
      <c r="R15" s="41">
        <v>290271</v>
      </c>
      <c r="S15" s="41">
        <f t="shared" si="3"/>
        <v>203129323.63199997</v>
      </c>
      <c r="T15" s="27">
        <f t="shared" si="4"/>
        <v>0</v>
      </c>
    </row>
    <row r="16" spans="1:20">
      <c r="A16" s="8">
        <v>15</v>
      </c>
      <c r="B16" s="8" t="s">
        <v>117</v>
      </c>
      <c r="C16" s="8" t="s">
        <v>28</v>
      </c>
      <c r="D16" s="8" t="s">
        <v>54</v>
      </c>
      <c r="E16" s="19" t="s">
        <v>139</v>
      </c>
      <c r="F16" s="8" t="s">
        <v>31</v>
      </c>
      <c r="G16" s="30">
        <v>37.5</v>
      </c>
      <c r="H16" s="10">
        <v>38</v>
      </c>
      <c r="I16" s="10">
        <v>38</v>
      </c>
      <c r="J16" s="10">
        <v>37.5</v>
      </c>
      <c r="K16" s="10"/>
      <c r="L16" s="10"/>
      <c r="M16" s="10"/>
      <c r="N16" s="10">
        <f t="shared" si="0"/>
        <v>37.5</v>
      </c>
      <c r="O16" s="8">
        <v>3.302</v>
      </c>
      <c r="P16" s="28">
        <f t="shared" si="1"/>
        <v>123.825</v>
      </c>
      <c r="Q16" s="28">
        <f t="shared" si="2"/>
        <v>37.147500000000001</v>
      </c>
      <c r="R16" s="41">
        <v>290271</v>
      </c>
      <c r="S16" s="41">
        <f t="shared" si="3"/>
        <v>10782841.9725</v>
      </c>
      <c r="T16" s="27">
        <f t="shared" si="4"/>
        <v>123.825</v>
      </c>
    </row>
    <row r="17" spans="1:21">
      <c r="A17" s="11">
        <v>16</v>
      </c>
      <c r="B17" s="11" t="s">
        <v>117</v>
      </c>
      <c r="C17" s="11" t="s">
        <v>28</v>
      </c>
      <c r="D17" s="11" t="s">
        <v>140</v>
      </c>
      <c r="E17" s="20" t="s">
        <v>141</v>
      </c>
      <c r="F17" s="11" t="s">
        <v>31</v>
      </c>
      <c r="G17" s="31">
        <v>1.5</v>
      </c>
      <c r="H17" s="14" t="s">
        <v>28</v>
      </c>
      <c r="I17" s="12" t="s">
        <v>28</v>
      </c>
      <c r="J17" s="12"/>
      <c r="K17" s="12"/>
      <c r="L17" s="12"/>
      <c r="M17" s="12"/>
      <c r="N17" s="10">
        <f t="shared" si="0"/>
        <v>0</v>
      </c>
      <c r="O17" s="11">
        <v>4.2350000000000003</v>
      </c>
      <c r="P17" s="28">
        <f t="shared" si="1"/>
        <v>6.3525000000000009</v>
      </c>
      <c r="Q17" s="28">
        <f t="shared" si="2"/>
        <v>1.9057500000000003</v>
      </c>
      <c r="R17" s="41">
        <v>290271</v>
      </c>
      <c r="S17" s="41">
        <f t="shared" si="3"/>
        <v>553183.95825000003</v>
      </c>
      <c r="T17" s="27">
        <f t="shared" si="4"/>
        <v>0</v>
      </c>
    </row>
    <row r="18" spans="1:21">
      <c r="A18" s="8">
        <v>17</v>
      </c>
      <c r="B18" s="8" t="s">
        <v>117</v>
      </c>
      <c r="C18" s="8" t="s">
        <v>28</v>
      </c>
      <c r="D18" s="8" t="s">
        <v>111</v>
      </c>
      <c r="E18" s="19" t="s">
        <v>142</v>
      </c>
      <c r="F18" s="8" t="s">
        <v>31</v>
      </c>
      <c r="G18" s="30">
        <v>1170.5</v>
      </c>
      <c r="H18" s="9">
        <v>575</v>
      </c>
      <c r="I18" s="10">
        <v>575</v>
      </c>
      <c r="J18" s="10"/>
      <c r="K18" s="10"/>
      <c r="L18" s="10">
        <v>575</v>
      </c>
      <c r="M18" s="10"/>
      <c r="N18" s="10">
        <f t="shared" si="0"/>
        <v>575</v>
      </c>
      <c r="O18" s="8">
        <v>2.1539999999999999</v>
      </c>
      <c r="P18" s="28">
        <f t="shared" si="1"/>
        <v>2521.2570000000001</v>
      </c>
      <c r="Q18" s="28">
        <f t="shared" si="2"/>
        <v>756.37710000000004</v>
      </c>
      <c r="R18" s="41">
        <v>290271</v>
      </c>
      <c r="S18" s="41">
        <f t="shared" si="3"/>
        <v>219554337.19410002</v>
      </c>
      <c r="T18" s="27">
        <f t="shared" si="4"/>
        <v>1238.55</v>
      </c>
      <c r="U18" s="27"/>
    </row>
    <row r="19" spans="1:21">
      <c r="A19" s="11">
        <v>18</v>
      </c>
      <c r="B19" s="11" t="s">
        <v>117</v>
      </c>
      <c r="C19" s="11" t="s">
        <v>28</v>
      </c>
      <c r="D19" s="11" t="s">
        <v>82</v>
      </c>
      <c r="E19" s="20" t="s">
        <v>143</v>
      </c>
      <c r="F19" s="11" t="s">
        <v>31</v>
      </c>
      <c r="G19" s="31">
        <v>620.5</v>
      </c>
      <c r="H19" s="12">
        <v>621</v>
      </c>
      <c r="I19" s="12">
        <v>621</v>
      </c>
      <c r="J19" s="12">
        <v>204</v>
      </c>
      <c r="K19" s="12"/>
      <c r="L19" s="12">
        <v>416.5</v>
      </c>
      <c r="M19" s="12"/>
      <c r="N19" s="10">
        <f t="shared" si="0"/>
        <v>620.5</v>
      </c>
      <c r="O19" s="11">
        <v>3.0859999999999999</v>
      </c>
      <c r="P19" s="28">
        <f t="shared" si="1"/>
        <v>1914.8629999999998</v>
      </c>
      <c r="Q19" s="28">
        <f t="shared" si="2"/>
        <v>574.45889999999997</v>
      </c>
      <c r="R19" s="41">
        <v>290271</v>
      </c>
      <c r="S19" s="41">
        <f t="shared" si="3"/>
        <v>166748759.3619</v>
      </c>
      <c r="T19" s="27">
        <f t="shared" si="4"/>
        <v>1914.8629999999998</v>
      </c>
      <c r="U19" s="27"/>
    </row>
    <row r="20" spans="1:21">
      <c r="A20" s="8">
        <v>19</v>
      </c>
      <c r="B20" s="8" t="s">
        <v>117</v>
      </c>
      <c r="C20" s="8" t="s">
        <v>28</v>
      </c>
      <c r="D20" s="8" t="s">
        <v>144</v>
      </c>
      <c r="E20" s="19" t="s">
        <v>145</v>
      </c>
      <c r="F20" s="8" t="s">
        <v>31</v>
      </c>
      <c r="G20" s="30">
        <v>139</v>
      </c>
      <c r="H20" s="9" t="s">
        <v>28</v>
      </c>
      <c r="I20" s="10" t="s">
        <v>28</v>
      </c>
      <c r="J20" s="10"/>
      <c r="K20" s="10"/>
      <c r="L20" s="10"/>
      <c r="M20" s="10"/>
      <c r="N20" s="10">
        <f t="shared" si="0"/>
        <v>0</v>
      </c>
      <c r="O20" s="8">
        <v>4.0739999999999998</v>
      </c>
      <c r="P20" s="28">
        <f t="shared" si="1"/>
        <v>566.28599999999994</v>
      </c>
      <c r="Q20" s="28">
        <f t="shared" si="2"/>
        <v>169.88579999999999</v>
      </c>
      <c r="R20" s="41">
        <v>290271</v>
      </c>
      <c r="S20" s="41">
        <f t="shared" si="3"/>
        <v>49312921.051799998</v>
      </c>
      <c r="T20" s="27">
        <f t="shared" si="4"/>
        <v>0</v>
      </c>
    </row>
    <row r="21" spans="1:21">
      <c r="A21" s="11">
        <v>20</v>
      </c>
      <c r="B21" s="11" t="s">
        <v>117</v>
      </c>
      <c r="C21" s="11" t="s">
        <v>28</v>
      </c>
      <c r="D21" s="11" t="s">
        <v>146</v>
      </c>
      <c r="E21" s="20" t="s">
        <v>147</v>
      </c>
      <c r="F21" s="11" t="s">
        <v>31</v>
      </c>
      <c r="G21" s="31">
        <v>76</v>
      </c>
      <c r="H21" s="14" t="s">
        <v>28</v>
      </c>
      <c r="I21" s="12" t="s">
        <v>28</v>
      </c>
      <c r="J21" s="12"/>
      <c r="K21" s="12"/>
      <c r="L21" s="12"/>
      <c r="M21" s="12"/>
      <c r="N21" s="10">
        <f t="shared" si="0"/>
        <v>0</v>
      </c>
      <c r="O21" s="11">
        <v>2.496</v>
      </c>
      <c r="P21" s="28">
        <f t="shared" si="1"/>
        <v>189.696</v>
      </c>
      <c r="Q21" s="28">
        <f t="shared" si="2"/>
        <v>56.908799999999999</v>
      </c>
      <c r="R21" s="41">
        <v>290271</v>
      </c>
      <c r="S21" s="41">
        <f t="shared" si="3"/>
        <v>16518974.2848</v>
      </c>
      <c r="T21" s="27">
        <f t="shared" si="4"/>
        <v>0</v>
      </c>
    </row>
    <row r="22" spans="1:21">
      <c r="A22" s="8">
        <v>21</v>
      </c>
      <c r="B22" s="8" t="s">
        <v>117</v>
      </c>
      <c r="C22" s="8" t="s">
        <v>28</v>
      </c>
      <c r="D22" s="8" t="s">
        <v>148</v>
      </c>
      <c r="E22" s="19" t="s">
        <v>149</v>
      </c>
      <c r="F22" s="8" t="s">
        <v>31</v>
      </c>
      <c r="G22" s="30">
        <v>1020</v>
      </c>
      <c r="H22" s="9" t="s">
        <v>28</v>
      </c>
      <c r="I22" s="10" t="s">
        <v>28</v>
      </c>
      <c r="J22" s="10"/>
      <c r="K22" s="10"/>
      <c r="L22" s="10"/>
      <c r="M22" s="10"/>
      <c r="N22" s="10">
        <f t="shared" si="0"/>
        <v>0</v>
      </c>
      <c r="O22" s="8">
        <v>3.589</v>
      </c>
      <c r="P22" s="28">
        <f t="shared" si="1"/>
        <v>3660.7799999999997</v>
      </c>
      <c r="Q22" s="28">
        <f t="shared" si="2"/>
        <v>1098.2339999999999</v>
      </c>
      <c r="R22" s="41">
        <v>290271</v>
      </c>
      <c r="S22" s="41">
        <f t="shared" si="3"/>
        <v>318785481.41399997</v>
      </c>
      <c r="T22" s="27">
        <f t="shared" si="4"/>
        <v>0</v>
      </c>
    </row>
    <row r="23" spans="1:21">
      <c r="A23" s="11">
        <v>22</v>
      </c>
      <c r="B23" s="11" t="s">
        <v>117</v>
      </c>
      <c r="C23" s="11" t="s">
        <v>28</v>
      </c>
      <c r="D23" s="11" t="s">
        <v>150</v>
      </c>
      <c r="E23" s="20" t="s">
        <v>151</v>
      </c>
      <c r="F23" s="11" t="s">
        <v>31</v>
      </c>
      <c r="G23" s="31">
        <v>133.5</v>
      </c>
      <c r="H23" s="14" t="s">
        <v>28</v>
      </c>
      <c r="I23" s="12" t="s">
        <v>28</v>
      </c>
      <c r="J23" s="12"/>
      <c r="K23" s="12"/>
      <c r="L23" s="12"/>
      <c r="M23" s="12"/>
      <c r="N23" s="10">
        <f t="shared" si="0"/>
        <v>0</v>
      </c>
      <c r="O23" s="11">
        <v>4.7370000000000001</v>
      </c>
      <c r="P23" s="28">
        <f t="shared" si="1"/>
        <v>632.3895</v>
      </c>
      <c r="Q23" s="28">
        <f t="shared" si="2"/>
        <v>189.71684999999999</v>
      </c>
      <c r="R23" s="41">
        <v>290271</v>
      </c>
      <c r="S23" s="41">
        <f t="shared" si="3"/>
        <v>55069299.766350001</v>
      </c>
      <c r="T23" s="27">
        <f t="shared" si="4"/>
        <v>0</v>
      </c>
    </row>
    <row r="24" spans="1:21">
      <c r="A24" s="8">
        <v>23</v>
      </c>
      <c r="B24" s="8" t="s">
        <v>117</v>
      </c>
      <c r="C24" s="8" t="s">
        <v>28</v>
      </c>
      <c r="D24" s="8" t="s">
        <v>152</v>
      </c>
      <c r="E24" s="19" t="s">
        <v>153</v>
      </c>
      <c r="F24" s="8" t="s">
        <v>31</v>
      </c>
      <c r="G24" s="30">
        <v>68.5</v>
      </c>
      <c r="H24" s="9" t="s">
        <v>28</v>
      </c>
      <c r="I24" s="10" t="s">
        <v>28</v>
      </c>
      <c r="J24" s="10"/>
      <c r="K24" s="10"/>
      <c r="L24" s="10"/>
      <c r="M24" s="10"/>
      <c r="N24" s="10">
        <f t="shared" si="0"/>
        <v>0</v>
      </c>
      <c r="O24" s="8">
        <v>5.9560000000000004</v>
      </c>
      <c r="P24" s="28">
        <f t="shared" si="1"/>
        <v>407.98600000000005</v>
      </c>
      <c r="Q24" s="28">
        <f t="shared" si="2"/>
        <v>122.39580000000001</v>
      </c>
      <c r="R24" s="41">
        <v>290271</v>
      </c>
      <c r="S24" s="41">
        <f t="shared" si="3"/>
        <v>35527951.261800006</v>
      </c>
      <c r="T24" s="27">
        <f t="shared" si="4"/>
        <v>0</v>
      </c>
    </row>
    <row r="25" spans="1:21">
      <c r="A25" s="11">
        <v>24</v>
      </c>
      <c r="B25" s="11" t="s">
        <v>117</v>
      </c>
      <c r="C25" s="11" t="s">
        <v>28</v>
      </c>
      <c r="D25" s="11" t="s">
        <v>43</v>
      </c>
      <c r="E25" s="20" t="s">
        <v>154</v>
      </c>
      <c r="F25" s="11" t="s">
        <v>31</v>
      </c>
      <c r="G25" s="31">
        <v>132</v>
      </c>
      <c r="H25" s="12">
        <v>132</v>
      </c>
      <c r="I25" s="12">
        <v>132</v>
      </c>
      <c r="J25" s="12">
        <v>132</v>
      </c>
      <c r="K25" s="12"/>
      <c r="L25" s="12"/>
      <c r="M25" s="12"/>
      <c r="N25" s="10">
        <f t="shared" si="0"/>
        <v>132</v>
      </c>
      <c r="O25" s="11">
        <v>3.484</v>
      </c>
      <c r="P25" s="28">
        <f t="shared" si="1"/>
        <v>459.88799999999998</v>
      </c>
      <c r="Q25" s="28">
        <f t="shared" si="2"/>
        <v>137.96639999999999</v>
      </c>
      <c r="R25" s="41">
        <v>290271</v>
      </c>
      <c r="S25" s="41">
        <f t="shared" si="3"/>
        <v>40047644.894400001</v>
      </c>
      <c r="T25" s="27">
        <f t="shared" si="4"/>
        <v>459.88799999999998</v>
      </c>
    </row>
    <row r="26" spans="1:21">
      <c r="A26" s="8">
        <v>25</v>
      </c>
      <c r="B26" s="8" t="s">
        <v>117</v>
      </c>
      <c r="C26" s="8" t="s">
        <v>28</v>
      </c>
      <c r="D26" s="8" t="s">
        <v>155</v>
      </c>
      <c r="E26" s="19" t="s">
        <v>156</v>
      </c>
      <c r="F26" s="8" t="s">
        <v>31</v>
      </c>
      <c r="G26" s="30">
        <v>1479.5</v>
      </c>
      <c r="H26" s="9" t="s">
        <v>28</v>
      </c>
      <c r="I26" s="10" t="s">
        <v>28</v>
      </c>
      <c r="J26" s="10"/>
      <c r="K26" s="10"/>
      <c r="L26" s="10"/>
      <c r="M26" s="10"/>
      <c r="N26" s="10">
        <f t="shared" si="0"/>
        <v>0</v>
      </c>
      <c r="O26" s="8">
        <v>4.88</v>
      </c>
      <c r="P26" s="28">
        <f t="shared" si="1"/>
        <v>7219.96</v>
      </c>
      <c r="Q26" s="28">
        <f t="shared" si="2"/>
        <v>2165.9879999999998</v>
      </c>
      <c r="R26" s="41">
        <v>290271</v>
      </c>
      <c r="S26" s="41">
        <f t="shared" si="3"/>
        <v>628723502.74799991</v>
      </c>
      <c r="T26" s="27">
        <f t="shared" si="4"/>
        <v>0</v>
      </c>
    </row>
    <row r="27" spans="1:21">
      <c r="A27" s="11">
        <v>26</v>
      </c>
      <c r="B27" s="11" t="s">
        <v>117</v>
      </c>
      <c r="C27" s="11" t="s">
        <v>28</v>
      </c>
      <c r="D27" s="11" t="s">
        <v>56</v>
      </c>
      <c r="E27" s="20" t="s">
        <v>157</v>
      </c>
      <c r="F27" s="11" t="s">
        <v>31</v>
      </c>
      <c r="G27" s="31">
        <v>48.5</v>
      </c>
      <c r="H27" s="12">
        <v>49</v>
      </c>
      <c r="I27" s="12">
        <v>49</v>
      </c>
      <c r="J27" s="12">
        <v>48.5</v>
      </c>
      <c r="K27" s="12"/>
      <c r="L27" s="12"/>
      <c r="M27" s="12"/>
      <c r="N27" s="10">
        <f t="shared" si="0"/>
        <v>48.5</v>
      </c>
      <c r="O27" s="11">
        <v>6.3150000000000004</v>
      </c>
      <c r="P27" s="28">
        <f t="shared" si="1"/>
        <v>306.27750000000003</v>
      </c>
      <c r="Q27" s="28">
        <f t="shared" si="2"/>
        <v>91.883250000000004</v>
      </c>
      <c r="R27" s="41">
        <v>290271</v>
      </c>
      <c r="S27" s="41">
        <f t="shared" si="3"/>
        <v>26671042.860750001</v>
      </c>
      <c r="T27" s="27">
        <f t="shared" si="4"/>
        <v>306.27750000000003</v>
      </c>
    </row>
    <row r="28" spans="1:21">
      <c r="A28" s="8">
        <v>27</v>
      </c>
      <c r="B28" s="8" t="s">
        <v>117</v>
      </c>
      <c r="C28" s="8" t="s">
        <v>28</v>
      </c>
      <c r="D28" s="8" t="s">
        <v>29</v>
      </c>
      <c r="E28" s="19" t="s">
        <v>158</v>
      </c>
      <c r="F28" s="8" t="s">
        <v>31</v>
      </c>
      <c r="G28" s="30">
        <v>371</v>
      </c>
      <c r="H28" s="10">
        <v>371</v>
      </c>
      <c r="I28" s="10">
        <v>371</v>
      </c>
      <c r="J28" s="10">
        <v>371</v>
      </c>
      <c r="K28" s="10"/>
      <c r="L28" s="10"/>
      <c r="M28" s="10"/>
      <c r="N28" s="10">
        <f t="shared" si="0"/>
        <v>371</v>
      </c>
      <c r="O28" s="8">
        <v>7.8220000000000001</v>
      </c>
      <c r="P28" s="28">
        <f t="shared" si="1"/>
        <v>2901.962</v>
      </c>
      <c r="Q28" s="28">
        <f t="shared" si="2"/>
        <v>870.58859999999993</v>
      </c>
      <c r="R28" s="41">
        <v>290271</v>
      </c>
      <c r="S28" s="41">
        <f t="shared" si="3"/>
        <v>252706623.51059997</v>
      </c>
      <c r="T28" s="27">
        <f t="shared" si="4"/>
        <v>2901.962</v>
      </c>
    </row>
    <row r="29" spans="1:21">
      <c r="A29" s="11">
        <v>28</v>
      </c>
      <c r="B29" s="11" t="s">
        <v>117</v>
      </c>
      <c r="C29" s="11" t="s">
        <v>28</v>
      </c>
      <c r="D29" s="11" t="s">
        <v>77</v>
      </c>
      <c r="E29" s="20" t="s">
        <v>159</v>
      </c>
      <c r="F29" s="11" t="s">
        <v>31</v>
      </c>
      <c r="G29" s="31">
        <v>440</v>
      </c>
      <c r="H29" s="14">
        <v>430</v>
      </c>
      <c r="I29" s="12">
        <v>430</v>
      </c>
      <c r="J29" s="12">
        <v>430</v>
      </c>
      <c r="K29" s="12"/>
      <c r="L29" s="12"/>
      <c r="M29" s="12"/>
      <c r="N29" s="10">
        <f t="shared" si="0"/>
        <v>430</v>
      </c>
      <c r="O29" s="11">
        <v>9.8320000000000007</v>
      </c>
      <c r="P29" s="28">
        <f t="shared" si="1"/>
        <v>4326.08</v>
      </c>
      <c r="Q29" s="28">
        <f t="shared" si="2"/>
        <v>1297.8239999999998</v>
      </c>
      <c r="R29" s="41">
        <v>290271</v>
      </c>
      <c r="S29" s="41">
        <f t="shared" si="3"/>
        <v>376720670.30399996</v>
      </c>
      <c r="T29" s="27">
        <f t="shared" si="4"/>
        <v>4227.76</v>
      </c>
    </row>
    <row r="30" spans="1:21">
      <c r="A30" s="8">
        <v>29</v>
      </c>
      <c r="B30" s="8" t="s">
        <v>117</v>
      </c>
      <c r="C30" s="8" t="s">
        <v>28</v>
      </c>
      <c r="D30" s="8" t="s">
        <v>160</v>
      </c>
      <c r="E30" s="19" t="s">
        <v>161</v>
      </c>
      <c r="F30" s="8" t="s">
        <v>31</v>
      </c>
      <c r="G30" s="30">
        <v>128</v>
      </c>
      <c r="H30" s="9" t="s">
        <v>28</v>
      </c>
      <c r="I30" s="10" t="s">
        <v>28</v>
      </c>
      <c r="J30" s="10"/>
      <c r="K30" s="10"/>
      <c r="L30" s="10"/>
      <c r="M30" s="10"/>
      <c r="N30" s="10">
        <f t="shared" si="0"/>
        <v>0</v>
      </c>
      <c r="O30" s="8">
        <v>6.3150000000000004</v>
      </c>
      <c r="P30" s="28">
        <f t="shared" si="1"/>
        <v>808.32</v>
      </c>
      <c r="Q30" s="28">
        <f t="shared" si="2"/>
        <v>242.49600000000001</v>
      </c>
      <c r="R30" s="41">
        <v>290271</v>
      </c>
      <c r="S30" s="41">
        <f t="shared" si="3"/>
        <v>70389556.416000009</v>
      </c>
      <c r="T30" s="27">
        <f t="shared" si="4"/>
        <v>0</v>
      </c>
    </row>
    <row r="31" spans="1:21" ht="21">
      <c r="A31" s="34"/>
      <c r="B31" s="34"/>
      <c r="C31" s="34"/>
      <c r="D31" s="8" t="s">
        <v>186</v>
      </c>
      <c r="E31" s="35" t="s">
        <v>187</v>
      </c>
      <c r="F31" s="34" t="s">
        <v>65</v>
      </c>
      <c r="G31" s="36">
        <v>132</v>
      </c>
      <c r="H31" s="37"/>
      <c r="I31" s="38"/>
      <c r="J31" s="38"/>
      <c r="K31" s="38"/>
      <c r="L31" s="38"/>
      <c r="M31" s="38"/>
      <c r="N31" s="10">
        <f t="shared" si="0"/>
        <v>0</v>
      </c>
      <c r="O31" s="34">
        <v>15.891999999999999</v>
      </c>
      <c r="P31" s="39">
        <f t="shared" si="1"/>
        <v>2097.7440000000001</v>
      </c>
      <c r="Q31" s="28">
        <f t="shared" si="2"/>
        <v>629.32320000000004</v>
      </c>
      <c r="R31" s="41">
        <v>290271</v>
      </c>
      <c r="S31" s="41">
        <f t="shared" si="3"/>
        <v>182674274.58720002</v>
      </c>
      <c r="T31" s="27">
        <f t="shared" si="4"/>
        <v>0</v>
      </c>
    </row>
    <row r="32" spans="1:21">
      <c r="A32" s="11">
        <v>30</v>
      </c>
      <c r="B32" s="11" t="s">
        <v>117</v>
      </c>
      <c r="C32" s="11" t="s">
        <v>28</v>
      </c>
      <c r="D32" s="11" t="s">
        <v>162</v>
      </c>
      <c r="E32" s="20" t="s">
        <v>163</v>
      </c>
      <c r="F32" s="11" t="s">
        <v>31</v>
      </c>
      <c r="G32" s="31">
        <v>10</v>
      </c>
      <c r="H32" s="14" t="s">
        <v>28</v>
      </c>
      <c r="I32" s="12" t="s">
        <v>28</v>
      </c>
      <c r="J32" s="12"/>
      <c r="K32" s="12"/>
      <c r="L32" s="12"/>
      <c r="M32" s="12"/>
      <c r="N32" s="10">
        <f t="shared" si="0"/>
        <v>0</v>
      </c>
      <c r="O32" s="11">
        <v>4.3390000000000004</v>
      </c>
      <c r="P32" s="28">
        <f t="shared" si="1"/>
        <v>43.39</v>
      </c>
      <c r="Q32" s="28">
        <f t="shared" si="2"/>
        <v>13.016999999999999</v>
      </c>
      <c r="R32" s="41">
        <v>290271</v>
      </c>
      <c r="S32" s="41">
        <f t="shared" si="3"/>
        <v>3778457.6069999998</v>
      </c>
      <c r="T32" s="27">
        <f t="shared" si="4"/>
        <v>0</v>
      </c>
    </row>
    <row r="33" spans="1:20">
      <c r="A33" s="8">
        <v>31</v>
      </c>
      <c r="B33" s="8" t="s">
        <v>117</v>
      </c>
      <c r="C33" s="8" t="s">
        <v>28</v>
      </c>
      <c r="D33" s="8" t="s">
        <v>58</v>
      </c>
      <c r="E33" s="19" t="s">
        <v>164</v>
      </c>
      <c r="F33" s="8" t="s">
        <v>31</v>
      </c>
      <c r="G33" s="30">
        <v>178.5</v>
      </c>
      <c r="H33" s="9">
        <v>84</v>
      </c>
      <c r="I33" s="10">
        <v>84</v>
      </c>
      <c r="J33" s="10">
        <v>84</v>
      </c>
      <c r="K33" s="10"/>
      <c r="L33" s="10"/>
      <c r="M33" s="10"/>
      <c r="N33" s="10">
        <f t="shared" si="0"/>
        <v>84</v>
      </c>
      <c r="O33" s="8">
        <v>7.7510000000000003</v>
      </c>
      <c r="P33" s="28">
        <f t="shared" si="1"/>
        <v>1383.5535</v>
      </c>
      <c r="Q33" s="28">
        <f t="shared" si="2"/>
        <v>415.06604999999996</v>
      </c>
      <c r="R33" s="41">
        <v>290271</v>
      </c>
      <c r="S33" s="41">
        <f t="shared" si="3"/>
        <v>120481637.39954999</v>
      </c>
      <c r="T33" s="27">
        <f t="shared" si="4"/>
        <v>651.08400000000006</v>
      </c>
    </row>
    <row r="34" spans="1:20">
      <c r="A34" s="11">
        <v>32</v>
      </c>
      <c r="B34" s="11" t="s">
        <v>117</v>
      </c>
      <c r="C34" s="11" t="s">
        <v>28</v>
      </c>
      <c r="D34" s="11" t="s">
        <v>165</v>
      </c>
      <c r="E34" s="20" t="s">
        <v>166</v>
      </c>
      <c r="F34" s="11" t="s">
        <v>31</v>
      </c>
      <c r="G34" s="31">
        <v>348</v>
      </c>
      <c r="H34" s="14" t="s">
        <v>28</v>
      </c>
      <c r="I34" s="12" t="s">
        <v>28</v>
      </c>
      <c r="J34" s="12"/>
      <c r="K34" s="12"/>
      <c r="L34" s="12"/>
      <c r="M34" s="12"/>
      <c r="N34" s="10">
        <f t="shared" si="0"/>
        <v>0</v>
      </c>
      <c r="O34" s="11">
        <v>9.4719999999999995</v>
      </c>
      <c r="P34" s="28">
        <f t="shared" si="1"/>
        <v>3296.2559999999999</v>
      </c>
      <c r="Q34" s="28">
        <f t="shared" si="2"/>
        <v>988.87679999999989</v>
      </c>
      <c r="R34" s="41">
        <v>290271</v>
      </c>
      <c r="S34" s="41">
        <f t="shared" si="3"/>
        <v>287042257.61279994</v>
      </c>
      <c r="T34" s="27">
        <f t="shared" si="4"/>
        <v>0</v>
      </c>
    </row>
    <row r="35" spans="1:20">
      <c r="A35" s="8">
        <v>33</v>
      </c>
      <c r="B35" s="8" t="s">
        <v>117</v>
      </c>
      <c r="C35" s="8" t="s">
        <v>28</v>
      </c>
      <c r="D35" s="8" t="s">
        <v>167</v>
      </c>
      <c r="E35" s="19" t="s">
        <v>168</v>
      </c>
      <c r="F35" s="8" t="s">
        <v>31</v>
      </c>
      <c r="G35" s="30">
        <v>238</v>
      </c>
      <c r="H35" s="9" t="s">
        <v>28</v>
      </c>
      <c r="I35" s="10" t="s">
        <v>28</v>
      </c>
      <c r="J35" s="10"/>
      <c r="K35" s="10"/>
      <c r="L35" s="10"/>
      <c r="M35" s="10"/>
      <c r="N35" s="10">
        <f t="shared" si="0"/>
        <v>0</v>
      </c>
      <c r="O35" s="8">
        <v>11.553000000000001</v>
      </c>
      <c r="P35" s="28">
        <f t="shared" si="1"/>
        <v>2749.614</v>
      </c>
      <c r="Q35" s="28">
        <f t="shared" si="2"/>
        <v>824.88419999999996</v>
      </c>
      <c r="R35" s="41">
        <v>290271</v>
      </c>
      <c r="S35" s="41">
        <f t="shared" si="3"/>
        <v>239439961.6182</v>
      </c>
      <c r="T35" s="27">
        <f t="shared" si="4"/>
        <v>0</v>
      </c>
    </row>
    <row r="36" spans="1:20">
      <c r="A36" s="11">
        <v>34</v>
      </c>
      <c r="B36" s="11" t="s">
        <v>117</v>
      </c>
      <c r="C36" s="11" t="s">
        <v>28</v>
      </c>
      <c r="D36" s="11" t="s">
        <v>169</v>
      </c>
      <c r="E36" s="20" t="s">
        <v>170</v>
      </c>
      <c r="F36" s="11" t="s">
        <v>31</v>
      </c>
      <c r="G36" s="31">
        <v>187</v>
      </c>
      <c r="H36" s="14" t="s">
        <v>28</v>
      </c>
      <c r="I36" s="12" t="s">
        <v>28</v>
      </c>
      <c r="J36" s="12"/>
      <c r="K36" s="12"/>
      <c r="L36" s="12"/>
      <c r="M36" s="12"/>
      <c r="N36" s="10">
        <f t="shared" si="0"/>
        <v>0</v>
      </c>
      <c r="O36" s="11">
        <v>7.7510000000000003</v>
      </c>
      <c r="P36" s="28">
        <f t="shared" si="1"/>
        <v>1449.4370000000001</v>
      </c>
      <c r="Q36" s="28">
        <f t="shared" si="2"/>
        <v>434.83110000000005</v>
      </c>
      <c r="R36" s="41">
        <v>290271</v>
      </c>
      <c r="S36" s="41">
        <f t="shared" si="3"/>
        <v>126218858.22810002</v>
      </c>
      <c r="T36" s="27">
        <f t="shared" si="4"/>
        <v>0</v>
      </c>
    </row>
    <row r="37" spans="1:20" ht="21">
      <c r="A37" s="34"/>
      <c r="B37" s="34"/>
      <c r="C37" s="34"/>
      <c r="D37" s="8" t="s">
        <v>186</v>
      </c>
      <c r="E37" s="35" t="s">
        <v>187</v>
      </c>
      <c r="F37" s="34" t="s">
        <v>65</v>
      </c>
      <c r="G37" s="36">
        <v>223</v>
      </c>
      <c r="H37" s="37"/>
      <c r="I37" s="38"/>
      <c r="J37" s="38"/>
      <c r="K37" s="38"/>
      <c r="L37" s="38"/>
      <c r="M37" s="38"/>
      <c r="N37" s="10">
        <f t="shared" si="0"/>
        <v>0</v>
      </c>
      <c r="O37" s="34">
        <v>15.891999999999999</v>
      </c>
      <c r="P37" s="39">
        <f t="shared" si="1"/>
        <v>3543.9159999999997</v>
      </c>
      <c r="Q37" s="28">
        <f t="shared" si="2"/>
        <v>1063.1747999999998</v>
      </c>
      <c r="R37" s="41">
        <v>290271</v>
      </c>
      <c r="S37" s="41">
        <f t="shared" si="3"/>
        <v>308608812.37079996</v>
      </c>
      <c r="T37" s="27">
        <f t="shared" si="4"/>
        <v>0</v>
      </c>
    </row>
    <row r="38" spans="1:20">
      <c r="A38" s="8">
        <v>35</v>
      </c>
      <c r="B38" s="8" t="s">
        <v>117</v>
      </c>
      <c r="C38" s="8" t="s">
        <v>28</v>
      </c>
      <c r="D38" s="8" t="s">
        <v>171</v>
      </c>
      <c r="E38" s="19" t="s">
        <v>172</v>
      </c>
      <c r="F38" s="8" t="s">
        <v>31</v>
      </c>
      <c r="G38" s="30">
        <v>40</v>
      </c>
      <c r="H38" s="9" t="s">
        <v>28</v>
      </c>
      <c r="I38" s="10" t="s">
        <v>28</v>
      </c>
      <c r="J38" s="10"/>
      <c r="K38" s="10"/>
      <c r="L38" s="10"/>
      <c r="M38" s="10"/>
      <c r="N38" s="10">
        <f t="shared" si="0"/>
        <v>0</v>
      </c>
      <c r="O38" s="8">
        <v>5.1340000000000003</v>
      </c>
      <c r="P38" s="28">
        <f t="shared" si="1"/>
        <v>205.36</v>
      </c>
      <c r="Q38" s="28">
        <f t="shared" si="2"/>
        <v>61.608000000000004</v>
      </c>
      <c r="R38" s="41">
        <v>290271</v>
      </c>
      <c r="S38" s="41">
        <f t="shared" si="3"/>
        <v>17883015.768000003</v>
      </c>
      <c r="T38" s="27">
        <f t="shared" si="4"/>
        <v>0</v>
      </c>
    </row>
    <row r="39" spans="1:20">
      <c r="A39" s="11">
        <v>36</v>
      </c>
      <c r="B39" s="11" t="s">
        <v>117</v>
      </c>
      <c r="C39" s="11" t="s">
        <v>28</v>
      </c>
      <c r="D39" s="11" t="s">
        <v>173</v>
      </c>
      <c r="E39" s="20" t="s">
        <v>174</v>
      </c>
      <c r="F39" s="11" t="s">
        <v>31</v>
      </c>
      <c r="G39" s="31">
        <v>102.5</v>
      </c>
      <c r="H39" s="14" t="s">
        <v>28</v>
      </c>
      <c r="I39" s="12" t="s">
        <v>28</v>
      </c>
      <c r="J39" s="12"/>
      <c r="K39" s="12"/>
      <c r="L39" s="12"/>
      <c r="M39" s="12"/>
      <c r="N39" s="10">
        <f t="shared" si="0"/>
        <v>0</v>
      </c>
      <c r="O39" s="11">
        <v>9.3290000000000006</v>
      </c>
      <c r="P39" s="28">
        <f t="shared" si="1"/>
        <v>956.22250000000008</v>
      </c>
      <c r="Q39" s="28">
        <f t="shared" si="2"/>
        <v>286.86675000000002</v>
      </c>
      <c r="R39" s="41">
        <v>290271</v>
      </c>
      <c r="S39" s="41">
        <f t="shared" si="3"/>
        <v>83269098.38925001</v>
      </c>
      <c r="T39" s="27">
        <f t="shared" si="4"/>
        <v>0</v>
      </c>
    </row>
    <row r="40" spans="1:20">
      <c r="A40" s="8">
        <v>37</v>
      </c>
      <c r="B40" s="8" t="s">
        <v>117</v>
      </c>
      <c r="C40" s="8" t="s">
        <v>28</v>
      </c>
      <c r="D40" s="8" t="s">
        <v>175</v>
      </c>
      <c r="E40" s="19" t="s">
        <v>176</v>
      </c>
      <c r="F40" s="8" t="s">
        <v>31</v>
      </c>
      <c r="G40" s="30">
        <v>573.5</v>
      </c>
      <c r="H40" s="9" t="s">
        <v>28</v>
      </c>
      <c r="I40" s="10" t="s">
        <v>28</v>
      </c>
      <c r="J40" s="10"/>
      <c r="K40" s="10"/>
      <c r="L40" s="10"/>
      <c r="M40" s="10"/>
      <c r="N40" s="10">
        <f t="shared" si="0"/>
        <v>0</v>
      </c>
      <c r="O40" s="8">
        <v>11.266999999999999</v>
      </c>
      <c r="P40" s="28">
        <f t="shared" si="1"/>
        <v>6461.6244999999999</v>
      </c>
      <c r="Q40" s="28">
        <f t="shared" si="2"/>
        <v>1938.4873499999999</v>
      </c>
      <c r="R40" s="41">
        <v>290271</v>
      </c>
      <c r="S40" s="41">
        <f t="shared" si="3"/>
        <v>562686661.57184994</v>
      </c>
      <c r="T40" s="27">
        <f t="shared" si="4"/>
        <v>0</v>
      </c>
    </row>
    <row r="41" spans="1:20">
      <c r="A41" s="11">
        <v>38</v>
      </c>
      <c r="B41" s="11" t="s">
        <v>117</v>
      </c>
      <c r="C41" s="11" t="s">
        <v>28</v>
      </c>
      <c r="D41" s="11" t="s">
        <v>71</v>
      </c>
      <c r="E41" s="20" t="s">
        <v>177</v>
      </c>
      <c r="F41" s="11" t="s">
        <v>31</v>
      </c>
      <c r="G41" s="31">
        <v>216</v>
      </c>
      <c r="H41" s="12">
        <v>216</v>
      </c>
      <c r="I41" s="12">
        <v>216</v>
      </c>
      <c r="J41" s="12">
        <v>216</v>
      </c>
      <c r="K41" s="12"/>
      <c r="L41" s="12"/>
      <c r="M41" s="12"/>
      <c r="N41" s="10">
        <f t="shared" si="0"/>
        <v>216</v>
      </c>
      <c r="O41" s="11">
        <v>13.634</v>
      </c>
      <c r="P41" s="28">
        <f t="shared" si="1"/>
        <v>2944.944</v>
      </c>
      <c r="Q41" s="28">
        <f t="shared" si="2"/>
        <v>883.48320000000001</v>
      </c>
      <c r="R41" s="41">
        <v>290271</v>
      </c>
      <c r="S41" s="41">
        <f t="shared" si="3"/>
        <v>256449551.9472</v>
      </c>
      <c r="T41" s="27">
        <f t="shared" si="4"/>
        <v>2944.944</v>
      </c>
    </row>
    <row r="42" spans="1:20">
      <c r="A42" s="8">
        <v>39</v>
      </c>
      <c r="B42" s="8" t="s">
        <v>117</v>
      </c>
      <c r="C42" s="8" t="s">
        <v>28</v>
      </c>
      <c r="D42" s="8" t="s">
        <v>178</v>
      </c>
      <c r="E42" s="19" t="s">
        <v>179</v>
      </c>
      <c r="F42" s="8" t="s">
        <v>31</v>
      </c>
      <c r="G42" s="30">
        <v>241</v>
      </c>
      <c r="H42" s="9" t="s">
        <v>28</v>
      </c>
      <c r="I42" s="10" t="s">
        <v>28</v>
      </c>
      <c r="J42" s="10"/>
      <c r="K42" s="10"/>
      <c r="L42" s="10"/>
      <c r="M42" s="10"/>
      <c r="N42" s="10">
        <f t="shared" si="0"/>
        <v>0</v>
      </c>
      <c r="O42" s="8">
        <v>9.3290000000000006</v>
      </c>
      <c r="P42" s="28">
        <f t="shared" si="1"/>
        <v>2248.2890000000002</v>
      </c>
      <c r="Q42" s="28">
        <f t="shared" si="2"/>
        <v>674.48670000000004</v>
      </c>
      <c r="R42" s="41">
        <v>290271</v>
      </c>
      <c r="S42" s="41">
        <f t="shared" si="3"/>
        <v>195783928.89570001</v>
      </c>
      <c r="T42" s="27">
        <f t="shared" si="4"/>
        <v>0</v>
      </c>
    </row>
    <row r="43" spans="1:20" ht="21">
      <c r="A43" s="34"/>
      <c r="B43" s="34"/>
      <c r="C43" s="34"/>
      <c r="D43" s="8" t="s">
        <v>186</v>
      </c>
      <c r="E43" s="35" t="s">
        <v>187</v>
      </c>
      <c r="F43" s="34" t="s">
        <v>65</v>
      </c>
      <c r="G43" s="36">
        <v>328</v>
      </c>
      <c r="H43" s="37"/>
      <c r="I43" s="38"/>
      <c r="J43" s="38"/>
      <c r="K43" s="38"/>
      <c r="L43" s="38"/>
      <c r="M43" s="38"/>
      <c r="N43" s="10">
        <f t="shared" si="0"/>
        <v>0</v>
      </c>
      <c r="O43" s="34">
        <v>15.891999999999999</v>
      </c>
      <c r="P43" s="39">
        <f t="shared" si="1"/>
        <v>5212.576</v>
      </c>
      <c r="Q43" s="28">
        <f t="shared" si="2"/>
        <v>1563.7728</v>
      </c>
      <c r="R43" s="41">
        <v>290271</v>
      </c>
      <c r="S43" s="41">
        <f t="shared" si="3"/>
        <v>453917894.42879999</v>
      </c>
      <c r="T43" s="27">
        <f t="shared" si="4"/>
        <v>0</v>
      </c>
    </row>
    <row r="44" spans="1:20">
      <c r="A44" s="11">
        <v>40</v>
      </c>
      <c r="B44" s="11" t="s">
        <v>117</v>
      </c>
      <c r="C44" s="11" t="s">
        <v>28</v>
      </c>
      <c r="D44" s="11" t="s">
        <v>180</v>
      </c>
      <c r="E44" s="20" t="s">
        <v>181</v>
      </c>
      <c r="F44" s="11" t="s">
        <v>31</v>
      </c>
      <c r="G44" s="31">
        <v>177.5</v>
      </c>
      <c r="H44" s="14" t="s">
        <v>28</v>
      </c>
      <c r="I44" s="12" t="s">
        <v>28</v>
      </c>
      <c r="J44" s="12"/>
      <c r="K44" s="12"/>
      <c r="L44" s="12"/>
      <c r="M44" s="12"/>
      <c r="N44" s="10">
        <f t="shared" si="0"/>
        <v>0</v>
      </c>
      <c r="O44" s="11">
        <v>9.3290000000000006</v>
      </c>
      <c r="P44" s="28">
        <f t="shared" si="1"/>
        <v>1655.8975</v>
      </c>
      <c r="Q44" s="28">
        <f t="shared" si="2"/>
        <v>496.76925</v>
      </c>
      <c r="R44" s="41">
        <v>290271</v>
      </c>
      <c r="S44" s="41">
        <f t="shared" si="3"/>
        <v>144197706.96675</v>
      </c>
      <c r="T44" s="27">
        <f t="shared" si="4"/>
        <v>0</v>
      </c>
    </row>
    <row r="45" spans="1:20" ht="21">
      <c r="A45" s="34"/>
      <c r="B45" s="34"/>
      <c r="C45" s="34"/>
      <c r="D45" s="34"/>
      <c r="E45" s="35" t="s">
        <v>231</v>
      </c>
      <c r="F45" s="34" t="s">
        <v>65</v>
      </c>
      <c r="G45" s="36">
        <v>253</v>
      </c>
      <c r="H45" s="37"/>
      <c r="I45" s="38"/>
      <c r="J45" s="38"/>
      <c r="K45" s="38"/>
      <c r="L45" s="38"/>
      <c r="M45" s="38"/>
      <c r="N45" s="10">
        <f t="shared" si="0"/>
        <v>0</v>
      </c>
      <c r="O45" s="34">
        <v>16.7</v>
      </c>
      <c r="P45" s="28">
        <f t="shared" si="1"/>
        <v>4225.0999999999995</v>
      </c>
      <c r="Q45" s="28">
        <f t="shared" si="2"/>
        <v>1267.5299999999997</v>
      </c>
      <c r="R45" s="41">
        <v>290271</v>
      </c>
      <c r="S45" s="41">
        <f t="shared" si="3"/>
        <v>367927200.62999994</v>
      </c>
      <c r="T45" s="27">
        <f t="shared" si="4"/>
        <v>0</v>
      </c>
    </row>
    <row r="46" spans="1:20">
      <c r="A46" s="8">
        <v>41</v>
      </c>
      <c r="B46" s="8" t="s">
        <v>117</v>
      </c>
      <c r="C46" s="8" t="s">
        <v>28</v>
      </c>
      <c r="D46" s="8" t="s">
        <v>182</v>
      </c>
      <c r="E46" s="19" t="s">
        <v>183</v>
      </c>
      <c r="F46" s="8" t="s">
        <v>31</v>
      </c>
      <c r="G46" s="30">
        <v>1.1000000000000001</v>
      </c>
      <c r="H46" s="9" t="s">
        <v>28</v>
      </c>
      <c r="I46" s="10" t="s">
        <v>28</v>
      </c>
      <c r="J46" s="10"/>
      <c r="K46" s="10"/>
      <c r="L46" s="10"/>
      <c r="M46" s="10"/>
      <c r="N46" s="10">
        <f t="shared" si="0"/>
        <v>0</v>
      </c>
      <c r="O46" s="8">
        <v>10.888</v>
      </c>
      <c r="P46" s="28">
        <f t="shared" si="1"/>
        <v>11.976800000000001</v>
      </c>
      <c r="Q46" s="28">
        <f t="shared" si="2"/>
        <v>3.5930400000000002</v>
      </c>
      <c r="R46" s="41">
        <v>290271</v>
      </c>
      <c r="S46" s="41">
        <f t="shared" si="3"/>
        <v>1042955.3138400001</v>
      </c>
      <c r="T46" s="27">
        <f t="shared" si="4"/>
        <v>0</v>
      </c>
    </row>
    <row r="47" spans="1:20">
      <c r="A47" s="11">
        <v>42</v>
      </c>
      <c r="B47" s="11" t="s">
        <v>117</v>
      </c>
      <c r="C47" s="11" t="s">
        <v>28</v>
      </c>
      <c r="D47" s="11" t="s">
        <v>184</v>
      </c>
      <c r="E47" s="20" t="s">
        <v>185</v>
      </c>
      <c r="F47" s="11" t="s">
        <v>31</v>
      </c>
      <c r="G47" s="31">
        <v>5.5</v>
      </c>
      <c r="H47" s="14" t="s">
        <v>28</v>
      </c>
      <c r="I47" s="12" t="s">
        <v>28</v>
      </c>
      <c r="J47" s="12"/>
      <c r="K47" s="12"/>
      <c r="L47" s="12"/>
      <c r="M47" s="12"/>
      <c r="N47" s="10">
        <f t="shared" si="0"/>
        <v>0</v>
      </c>
      <c r="O47" s="11">
        <v>7.8010000000000002</v>
      </c>
      <c r="P47" s="28">
        <f t="shared" si="1"/>
        <v>42.905500000000004</v>
      </c>
      <c r="Q47" s="28">
        <f t="shared" si="2"/>
        <v>12.871650000000001</v>
      </c>
      <c r="R47" s="41">
        <v>290271</v>
      </c>
      <c r="S47" s="41">
        <f t="shared" si="3"/>
        <v>3736266.7171500004</v>
      </c>
      <c r="T47" s="27">
        <f t="shared" si="4"/>
        <v>0</v>
      </c>
    </row>
    <row r="48" spans="1:20" ht="21">
      <c r="A48" s="8">
        <v>43</v>
      </c>
      <c r="B48" s="8" t="s">
        <v>117</v>
      </c>
      <c r="C48" s="8" t="s">
        <v>28</v>
      </c>
      <c r="D48" s="8" t="s">
        <v>186</v>
      </c>
      <c r="E48" s="19" t="s">
        <v>187</v>
      </c>
      <c r="F48" s="8" t="s">
        <v>65</v>
      </c>
      <c r="G48" s="30">
        <v>87.78</v>
      </c>
      <c r="H48" s="9" t="s">
        <v>28</v>
      </c>
      <c r="I48" s="10" t="s">
        <v>28</v>
      </c>
      <c r="J48" s="10"/>
      <c r="K48" s="10"/>
      <c r="L48" s="10"/>
      <c r="M48" s="10"/>
      <c r="N48" s="10">
        <f t="shared" si="0"/>
        <v>0</v>
      </c>
      <c r="O48" s="8">
        <v>15.891999999999999</v>
      </c>
      <c r="P48" s="28">
        <f t="shared" si="1"/>
        <v>1394.9997599999999</v>
      </c>
      <c r="Q48" s="28">
        <f t="shared" si="2"/>
        <v>418.49992799999995</v>
      </c>
      <c r="R48" s="41">
        <v>290271</v>
      </c>
      <c r="S48" s="41">
        <f t="shared" si="3"/>
        <v>121478392.60048799</v>
      </c>
      <c r="T48" s="27">
        <f t="shared" si="4"/>
        <v>0</v>
      </c>
    </row>
    <row r="49" spans="1:21" ht="21">
      <c r="A49" s="11">
        <v>44</v>
      </c>
      <c r="B49" s="11" t="s">
        <v>117</v>
      </c>
      <c r="C49" s="11" t="s">
        <v>28</v>
      </c>
      <c r="D49" s="11" t="s">
        <v>188</v>
      </c>
      <c r="E49" s="20" t="s">
        <v>189</v>
      </c>
      <c r="F49" s="11" t="s">
        <v>65</v>
      </c>
      <c r="G49" s="31">
        <v>1007.6</v>
      </c>
      <c r="H49" s="14" t="s">
        <v>28</v>
      </c>
      <c r="I49" s="12" t="s">
        <v>28</v>
      </c>
      <c r="J49" s="12"/>
      <c r="K49" s="12"/>
      <c r="L49" s="12"/>
      <c r="M49" s="12"/>
      <c r="N49" s="10">
        <f t="shared" si="0"/>
        <v>0</v>
      </c>
      <c r="O49" s="11">
        <v>17.507999999999999</v>
      </c>
      <c r="P49" s="28">
        <f t="shared" si="1"/>
        <v>17641.060799999999</v>
      </c>
      <c r="Q49" s="28">
        <f t="shared" si="2"/>
        <v>5292.3182399999996</v>
      </c>
      <c r="R49" s="41">
        <v>290271</v>
      </c>
      <c r="S49" s="41">
        <f t="shared" si="3"/>
        <v>1536206507.84304</v>
      </c>
      <c r="T49" s="27">
        <f t="shared" si="4"/>
        <v>0</v>
      </c>
    </row>
    <row r="50" spans="1:21" ht="21">
      <c r="A50" s="8">
        <v>45</v>
      </c>
      <c r="B50" s="8" t="s">
        <v>117</v>
      </c>
      <c r="C50" s="8" t="s">
        <v>28</v>
      </c>
      <c r="D50" s="8" t="s">
        <v>190</v>
      </c>
      <c r="E50" s="19" t="s">
        <v>191</v>
      </c>
      <c r="F50" s="8" t="s">
        <v>65</v>
      </c>
      <c r="G50" s="30">
        <v>1310.0999999999999</v>
      </c>
      <c r="H50" s="9" t="s">
        <v>28</v>
      </c>
      <c r="I50" s="10" t="s">
        <v>28</v>
      </c>
      <c r="J50" s="10"/>
      <c r="K50" s="10"/>
      <c r="L50" s="10"/>
      <c r="M50" s="10"/>
      <c r="N50" s="10">
        <f t="shared" si="0"/>
        <v>0</v>
      </c>
      <c r="O50" s="8">
        <v>18.315999999999999</v>
      </c>
      <c r="P50" s="28">
        <f t="shared" si="1"/>
        <v>23995.791599999997</v>
      </c>
      <c r="Q50" s="28">
        <f t="shared" si="2"/>
        <v>7198.7374799999989</v>
      </c>
      <c r="R50" s="41">
        <v>290271</v>
      </c>
      <c r="S50" s="41">
        <f t="shared" si="3"/>
        <v>2089584727.0570796</v>
      </c>
      <c r="T50" s="27">
        <f t="shared" si="4"/>
        <v>0</v>
      </c>
    </row>
    <row r="51" spans="1:21" ht="21">
      <c r="A51" s="11">
        <v>46</v>
      </c>
      <c r="B51" s="11" t="s">
        <v>117</v>
      </c>
      <c r="C51" s="11" t="s">
        <v>28</v>
      </c>
      <c r="D51" s="11" t="s">
        <v>192</v>
      </c>
      <c r="E51" s="20" t="s">
        <v>193</v>
      </c>
      <c r="F51" s="11" t="s">
        <v>65</v>
      </c>
      <c r="G51" s="31">
        <v>1243</v>
      </c>
      <c r="H51" s="14" t="s">
        <v>28</v>
      </c>
      <c r="I51" s="12" t="s">
        <v>28</v>
      </c>
      <c r="J51" s="12"/>
      <c r="K51" s="12"/>
      <c r="L51" s="12"/>
      <c r="M51" s="12"/>
      <c r="N51" s="10">
        <f t="shared" si="0"/>
        <v>0</v>
      </c>
      <c r="O51" s="11">
        <v>19.123999999999999</v>
      </c>
      <c r="P51" s="28">
        <f t="shared" si="1"/>
        <v>23771.131999999998</v>
      </c>
      <c r="Q51" s="28">
        <f t="shared" si="2"/>
        <v>7131.3395999999993</v>
      </c>
      <c r="R51" s="41">
        <v>290271</v>
      </c>
      <c r="S51" s="41">
        <f t="shared" si="3"/>
        <v>2070021077.0315998</v>
      </c>
      <c r="T51" s="27">
        <f t="shared" si="4"/>
        <v>0</v>
      </c>
    </row>
    <row r="52" spans="1:21" ht="21">
      <c r="A52" s="8">
        <v>47</v>
      </c>
      <c r="B52" s="8" t="s">
        <v>117</v>
      </c>
      <c r="C52" s="8" t="s">
        <v>28</v>
      </c>
      <c r="D52" s="8" t="s">
        <v>194</v>
      </c>
      <c r="E52" s="19" t="s">
        <v>195</v>
      </c>
      <c r="F52" s="8" t="s">
        <v>65</v>
      </c>
      <c r="G52" s="30">
        <v>403.7</v>
      </c>
      <c r="H52" s="9" t="s">
        <v>28</v>
      </c>
      <c r="I52" s="10" t="s">
        <v>28</v>
      </c>
      <c r="J52" s="10"/>
      <c r="K52" s="10"/>
      <c r="L52" s="10"/>
      <c r="M52" s="10"/>
      <c r="N52" s="10">
        <f t="shared" si="0"/>
        <v>0</v>
      </c>
      <c r="O52" s="8">
        <v>19.931999999999999</v>
      </c>
      <c r="P52" s="28">
        <f t="shared" si="1"/>
        <v>8046.5483999999988</v>
      </c>
      <c r="Q52" s="28">
        <f t="shared" si="2"/>
        <v>2413.9645199999995</v>
      </c>
      <c r="R52" s="41">
        <v>290271</v>
      </c>
      <c r="S52" s="41">
        <f t="shared" si="3"/>
        <v>700703895.18491983</v>
      </c>
      <c r="T52" s="27">
        <f t="shared" si="4"/>
        <v>0</v>
      </c>
    </row>
    <row r="53" spans="1:21" ht="21">
      <c r="A53" s="11">
        <v>48</v>
      </c>
      <c r="B53" s="11" t="s">
        <v>117</v>
      </c>
      <c r="C53" s="11" t="s">
        <v>28</v>
      </c>
      <c r="D53" s="11" t="s">
        <v>196</v>
      </c>
      <c r="E53" s="20" t="s">
        <v>197</v>
      </c>
      <c r="F53" s="11" t="s">
        <v>65</v>
      </c>
      <c r="G53" s="31">
        <v>822.8</v>
      </c>
      <c r="H53" s="14" t="s">
        <v>28</v>
      </c>
      <c r="I53" s="12" t="s">
        <v>28</v>
      </c>
      <c r="J53" s="12"/>
      <c r="K53" s="12"/>
      <c r="L53" s="12"/>
      <c r="M53" s="12"/>
      <c r="N53" s="10">
        <f t="shared" si="0"/>
        <v>0</v>
      </c>
      <c r="O53" s="11">
        <v>20.74</v>
      </c>
      <c r="P53" s="28">
        <f t="shared" si="1"/>
        <v>17064.871999999999</v>
      </c>
      <c r="Q53" s="28">
        <f t="shared" si="2"/>
        <v>5119.4615999999996</v>
      </c>
      <c r="R53" s="41">
        <v>290271</v>
      </c>
      <c r="S53" s="41">
        <f t="shared" si="3"/>
        <v>1486031238.0935998</v>
      </c>
      <c r="T53" s="27">
        <f t="shared" si="4"/>
        <v>0</v>
      </c>
    </row>
    <row r="54" spans="1:21" ht="21">
      <c r="A54" s="8">
        <v>49</v>
      </c>
      <c r="B54" s="8" t="s">
        <v>117</v>
      </c>
      <c r="C54" s="8" t="s">
        <v>28</v>
      </c>
      <c r="D54" s="8" t="s">
        <v>198</v>
      </c>
      <c r="E54" s="19" t="s">
        <v>199</v>
      </c>
      <c r="F54" s="8" t="s">
        <v>65</v>
      </c>
      <c r="G54" s="30">
        <v>11.88</v>
      </c>
      <c r="H54" s="9" t="s">
        <v>28</v>
      </c>
      <c r="I54" s="10" t="s">
        <v>28</v>
      </c>
      <c r="J54" s="10"/>
      <c r="K54" s="10"/>
      <c r="L54" s="10"/>
      <c r="M54" s="10"/>
      <c r="N54" s="10">
        <f t="shared" si="0"/>
        <v>0</v>
      </c>
      <c r="O54" s="8">
        <v>21.547999999999998</v>
      </c>
      <c r="P54" s="28">
        <f t="shared" si="1"/>
        <v>255.99024</v>
      </c>
      <c r="Q54" s="28">
        <f t="shared" si="2"/>
        <v>76.797072</v>
      </c>
      <c r="R54" s="41">
        <v>290271</v>
      </c>
      <c r="S54" s="41">
        <f t="shared" si="3"/>
        <v>22291962.886512</v>
      </c>
      <c r="T54" s="27">
        <f t="shared" si="4"/>
        <v>0</v>
      </c>
    </row>
    <row r="55" spans="1:21" ht="21">
      <c r="A55" s="11">
        <v>50</v>
      </c>
      <c r="B55" s="11" t="s">
        <v>117</v>
      </c>
      <c r="C55" s="11" t="s">
        <v>28</v>
      </c>
      <c r="D55" s="11" t="s">
        <v>200</v>
      </c>
      <c r="E55" s="20" t="s">
        <v>201</v>
      </c>
      <c r="F55" s="11" t="s">
        <v>65</v>
      </c>
      <c r="G55" s="31">
        <v>229.9</v>
      </c>
      <c r="H55" s="14" t="s">
        <v>28</v>
      </c>
      <c r="I55" s="12" t="s">
        <v>28</v>
      </c>
      <c r="J55" s="12"/>
      <c r="K55" s="12"/>
      <c r="L55" s="12"/>
      <c r="M55" s="12"/>
      <c r="N55" s="10">
        <f t="shared" si="0"/>
        <v>0</v>
      </c>
      <c r="O55" s="11">
        <v>17.507999999999999</v>
      </c>
      <c r="P55" s="28">
        <f t="shared" si="1"/>
        <v>4025.0891999999999</v>
      </c>
      <c r="Q55" s="28">
        <f t="shared" si="2"/>
        <v>1207.52676</v>
      </c>
      <c r="R55" s="41">
        <v>290271</v>
      </c>
      <c r="S55" s="41">
        <f t="shared" si="3"/>
        <v>350510000.15196002</v>
      </c>
      <c r="T55" s="27">
        <f t="shared" si="4"/>
        <v>0</v>
      </c>
    </row>
    <row r="56" spans="1:21" ht="21">
      <c r="A56" s="34"/>
      <c r="B56" s="34"/>
      <c r="C56" s="34"/>
      <c r="D56" s="8" t="s">
        <v>190</v>
      </c>
      <c r="E56" s="35" t="s">
        <v>191</v>
      </c>
      <c r="F56" s="34" t="s">
        <v>65</v>
      </c>
      <c r="G56" s="36">
        <v>229.9</v>
      </c>
      <c r="H56" s="37"/>
      <c r="I56" s="38"/>
      <c r="J56" s="38"/>
      <c r="K56" s="38"/>
      <c r="L56" s="38"/>
      <c r="M56" s="38"/>
      <c r="N56" s="10">
        <f t="shared" si="0"/>
        <v>0</v>
      </c>
      <c r="O56" s="34">
        <v>18.315999999999999</v>
      </c>
      <c r="P56" s="28">
        <f t="shared" si="1"/>
        <v>4210.8483999999999</v>
      </c>
      <c r="Q56" s="28">
        <f t="shared" si="2"/>
        <v>1263.25452</v>
      </c>
      <c r="R56" s="41">
        <v>290271</v>
      </c>
      <c r="S56" s="41">
        <f t="shared" si="3"/>
        <v>366686152.77491999</v>
      </c>
      <c r="T56" s="27">
        <f t="shared" si="4"/>
        <v>0</v>
      </c>
    </row>
    <row r="57" spans="1:21">
      <c r="A57" s="8">
        <v>51</v>
      </c>
      <c r="B57" s="8" t="s">
        <v>117</v>
      </c>
      <c r="C57" s="8" t="s">
        <v>28</v>
      </c>
      <c r="D57" s="8" t="s">
        <v>87</v>
      </c>
      <c r="E57" s="19" t="s">
        <v>202</v>
      </c>
      <c r="F57" s="8" t="s">
        <v>65</v>
      </c>
      <c r="G57" s="30">
        <v>5869.6</v>
      </c>
      <c r="H57" s="15">
        <v>5870</v>
      </c>
      <c r="I57" s="15">
        <v>5870</v>
      </c>
      <c r="J57" s="15"/>
      <c r="K57" s="15"/>
      <c r="L57" s="42">
        <v>5869.6</v>
      </c>
      <c r="M57" s="42"/>
      <c r="N57" s="10">
        <f t="shared" si="0"/>
        <v>5869.6</v>
      </c>
      <c r="O57" s="8">
        <v>11.313000000000001</v>
      </c>
      <c r="P57" s="28">
        <f t="shared" si="1"/>
        <v>66402.784800000009</v>
      </c>
      <c r="Q57" s="28">
        <f t="shared" si="2"/>
        <v>19920.835440000003</v>
      </c>
      <c r="R57" s="41">
        <v>290271</v>
      </c>
      <c r="S57" s="41">
        <f t="shared" si="3"/>
        <v>5782440824.004241</v>
      </c>
      <c r="T57" s="27">
        <f t="shared" si="4"/>
        <v>66402.784800000009</v>
      </c>
      <c r="U57" s="27"/>
    </row>
    <row r="58" spans="1:21">
      <c r="A58" s="11">
        <v>52</v>
      </c>
      <c r="B58" s="11" t="s">
        <v>117</v>
      </c>
      <c r="C58" s="11" t="s">
        <v>28</v>
      </c>
      <c r="D58" s="11" t="s">
        <v>63</v>
      </c>
      <c r="E58" s="20" t="s">
        <v>203</v>
      </c>
      <c r="F58" s="11" t="s">
        <v>65</v>
      </c>
      <c r="G58" s="31">
        <v>6906.9</v>
      </c>
      <c r="H58" s="13">
        <v>6907</v>
      </c>
      <c r="I58" s="13">
        <v>6907</v>
      </c>
      <c r="J58" s="13"/>
      <c r="K58" s="42">
        <v>4448.7</v>
      </c>
      <c r="L58" s="42">
        <v>2458.1999999999998</v>
      </c>
      <c r="M58" s="42"/>
      <c r="N58" s="10">
        <f t="shared" si="0"/>
        <v>6906.9</v>
      </c>
      <c r="O58" s="11">
        <v>15.084</v>
      </c>
      <c r="P58" s="28">
        <f t="shared" si="1"/>
        <v>104183.67959999999</v>
      </c>
      <c r="Q58" s="28">
        <f t="shared" si="2"/>
        <v>31255.103879999995</v>
      </c>
      <c r="R58" s="41">
        <v>290271</v>
      </c>
      <c r="S58" s="41">
        <f t="shared" si="3"/>
        <v>9072450258.3514786</v>
      </c>
      <c r="T58" s="27">
        <f t="shared" si="4"/>
        <v>104183.67959999999</v>
      </c>
      <c r="U58" s="27"/>
    </row>
    <row r="59" spans="1:21">
      <c r="A59" s="8">
        <v>53</v>
      </c>
      <c r="B59" s="8" t="s">
        <v>117</v>
      </c>
      <c r="C59" s="8" t="s">
        <v>28</v>
      </c>
      <c r="D59" s="8" t="s">
        <v>66</v>
      </c>
      <c r="E59" s="19" t="s">
        <v>204</v>
      </c>
      <c r="F59" s="8" t="s">
        <v>65</v>
      </c>
      <c r="G59" s="30">
        <v>2156</v>
      </c>
      <c r="H59" s="15">
        <v>2156</v>
      </c>
      <c r="I59" s="15">
        <v>2156</v>
      </c>
      <c r="J59" s="15"/>
      <c r="K59" s="42">
        <v>1973.58</v>
      </c>
      <c r="L59" s="42">
        <v>182.42</v>
      </c>
      <c r="M59" s="42"/>
      <c r="N59" s="10">
        <f t="shared" si="0"/>
        <v>2156</v>
      </c>
      <c r="O59" s="8">
        <v>18.855</v>
      </c>
      <c r="P59" s="28">
        <f t="shared" si="1"/>
        <v>40651.379999999997</v>
      </c>
      <c r="Q59" s="28">
        <f t="shared" si="2"/>
        <v>12195.413999999999</v>
      </c>
      <c r="R59" s="41">
        <v>290271</v>
      </c>
      <c r="S59" s="41">
        <f t="shared" si="3"/>
        <v>3539975017.1939998</v>
      </c>
      <c r="T59" s="27">
        <f t="shared" si="4"/>
        <v>40651.379999999997</v>
      </c>
      <c r="U59" s="27"/>
    </row>
    <row r="60" spans="1:21">
      <c r="A60" s="11">
        <v>54</v>
      </c>
      <c r="B60" s="11" t="s">
        <v>117</v>
      </c>
      <c r="C60" s="11" t="s">
        <v>28</v>
      </c>
      <c r="D60" s="11" t="s">
        <v>90</v>
      </c>
      <c r="E60" s="20" t="s">
        <v>205</v>
      </c>
      <c r="F60" s="11" t="s">
        <v>206</v>
      </c>
      <c r="G60" s="31">
        <v>1</v>
      </c>
      <c r="H60" s="14" t="s">
        <v>28</v>
      </c>
      <c r="I60" s="12" t="s">
        <v>28</v>
      </c>
      <c r="J60" s="12"/>
      <c r="K60" s="12"/>
      <c r="L60" s="12"/>
      <c r="M60" s="12"/>
      <c r="N60" s="10">
        <f t="shared" si="0"/>
        <v>0</v>
      </c>
      <c r="O60" s="11"/>
      <c r="P60" s="28">
        <f t="shared" si="1"/>
        <v>0</v>
      </c>
      <c r="Q60" s="28">
        <f t="shared" si="2"/>
        <v>0</v>
      </c>
      <c r="R60" s="41">
        <v>290271</v>
      </c>
      <c r="S60" s="41">
        <f t="shared" si="3"/>
        <v>0</v>
      </c>
      <c r="T60" s="27">
        <f t="shared" si="4"/>
        <v>0</v>
      </c>
    </row>
    <row r="61" spans="1:21">
      <c r="A61" s="8">
        <v>55</v>
      </c>
      <c r="B61" s="8" t="s">
        <v>117</v>
      </c>
      <c r="C61" s="8" t="s">
        <v>28</v>
      </c>
      <c r="D61" s="8" t="s">
        <v>207</v>
      </c>
      <c r="E61" s="19" t="s">
        <v>208</v>
      </c>
      <c r="F61" s="8" t="s">
        <v>31</v>
      </c>
      <c r="G61" s="30">
        <v>1.1000000000000001</v>
      </c>
      <c r="H61" s="9" t="s">
        <v>28</v>
      </c>
      <c r="I61" s="10" t="s">
        <v>28</v>
      </c>
      <c r="J61" s="10"/>
      <c r="K61" s="10"/>
      <c r="L61" s="10"/>
      <c r="M61" s="10"/>
      <c r="N61" s="10">
        <f t="shared" si="0"/>
        <v>0</v>
      </c>
      <c r="O61" s="8">
        <v>6.3410000000000002</v>
      </c>
      <c r="P61" s="28">
        <f t="shared" si="1"/>
        <v>6.9751000000000012</v>
      </c>
      <c r="Q61" s="28">
        <f t="shared" si="2"/>
        <v>2.0925300000000004</v>
      </c>
      <c r="R61" s="41">
        <v>290271</v>
      </c>
      <c r="S61" s="41">
        <f t="shared" si="3"/>
        <v>607400.77563000016</v>
      </c>
      <c r="T61" s="27">
        <f t="shared" si="4"/>
        <v>0</v>
      </c>
    </row>
    <row r="62" spans="1:21">
      <c r="A62" s="11">
        <v>56</v>
      </c>
      <c r="B62" s="11" t="s">
        <v>117</v>
      </c>
      <c r="C62" s="11" t="s">
        <v>28</v>
      </c>
      <c r="D62" s="11" t="s">
        <v>209</v>
      </c>
      <c r="E62" s="20" t="s">
        <v>210</v>
      </c>
      <c r="F62" s="11" t="s">
        <v>31</v>
      </c>
      <c r="G62" s="31">
        <v>20.9</v>
      </c>
      <c r="H62" s="14" t="s">
        <v>28</v>
      </c>
      <c r="I62" s="12" t="s">
        <v>28</v>
      </c>
      <c r="J62" s="12"/>
      <c r="K62" s="12"/>
      <c r="L62" s="12"/>
      <c r="M62" s="12"/>
      <c r="N62" s="10">
        <f t="shared" si="0"/>
        <v>0</v>
      </c>
      <c r="O62" s="11">
        <v>6.95</v>
      </c>
      <c r="P62" s="28">
        <f t="shared" si="1"/>
        <v>145.255</v>
      </c>
      <c r="Q62" s="28">
        <f t="shared" si="2"/>
        <v>43.576499999999996</v>
      </c>
      <c r="R62" s="41">
        <v>290271</v>
      </c>
      <c r="S62" s="41">
        <f t="shared" si="3"/>
        <v>12648994.231499998</v>
      </c>
      <c r="T62" s="27">
        <f t="shared" si="4"/>
        <v>0</v>
      </c>
    </row>
    <row r="63" spans="1:21">
      <c r="A63" s="8">
        <v>57</v>
      </c>
      <c r="B63" s="8" t="s">
        <v>117</v>
      </c>
      <c r="C63" s="8" t="s">
        <v>28</v>
      </c>
      <c r="D63" s="8" t="s">
        <v>211</v>
      </c>
      <c r="E63" s="19" t="s">
        <v>212</v>
      </c>
      <c r="F63" s="8" t="s">
        <v>31</v>
      </c>
      <c r="G63" s="30">
        <v>8.8000000000000007</v>
      </c>
      <c r="H63" s="9" t="s">
        <v>28</v>
      </c>
      <c r="I63" s="10" t="s">
        <v>28</v>
      </c>
      <c r="J63" s="10"/>
      <c r="K63" s="10"/>
      <c r="L63" s="10"/>
      <c r="M63" s="10"/>
      <c r="N63" s="10">
        <f t="shared" si="0"/>
        <v>0</v>
      </c>
      <c r="O63" s="8">
        <v>9.6270000000000007</v>
      </c>
      <c r="P63" s="28">
        <f t="shared" si="1"/>
        <v>84.717600000000019</v>
      </c>
      <c r="Q63" s="28">
        <f t="shared" si="2"/>
        <v>25.415280000000006</v>
      </c>
      <c r="R63" s="41">
        <v>290271</v>
      </c>
      <c r="S63" s="41">
        <f t="shared" si="3"/>
        <v>7377318.7408800023</v>
      </c>
      <c r="T63" s="27">
        <f t="shared" si="4"/>
        <v>0</v>
      </c>
    </row>
    <row r="64" spans="1:21">
      <c r="A64" s="11">
        <v>58</v>
      </c>
      <c r="B64" s="11" t="s">
        <v>117</v>
      </c>
      <c r="C64" s="11" t="s">
        <v>28</v>
      </c>
      <c r="D64" s="11" t="s">
        <v>213</v>
      </c>
      <c r="E64" s="20" t="s">
        <v>214</v>
      </c>
      <c r="F64" s="11" t="s">
        <v>31</v>
      </c>
      <c r="G64" s="31">
        <v>1.1000000000000001</v>
      </c>
      <c r="H64" s="14" t="s">
        <v>28</v>
      </c>
      <c r="I64" s="12" t="s">
        <v>28</v>
      </c>
      <c r="J64" s="12"/>
      <c r="K64" s="12"/>
      <c r="L64" s="12"/>
      <c r="M64" s="12"/>
      <c r="N64" s="10">
        <f t="shared" si="0"/>
        <v>0</v>
      </c>
      <c r="O64" s="11">
        <v>14.464</v>
      </c>
      <c r="P64" s="28">
        <f t="shared" si="1"/>
        <v>15.910400000000001</v>
      </c>
      <c r="Q64" s="28">
        <f t="shared" si="2"/>
        <v>4.7731200000000005</v>
      </c>
      <c r="R64" s="41">
        <v>290271</v>
      </c>
      <c r="S64" s="41">
        <f t="shared" si="3"/>
        <v>1385498.3155200002</v>
      </c>
      <c r="T64" s="27">
        <f t="shared" si="4"/>
        <v>0</v>
      </c>
    </row>
    <row r="65" spans="1:20">
      <c r="A65" s="8">
        <v>59</v>
      </c>
      <c r="B65" s="8" t="s">
        <v>117</v>
      </c>
      <c r="C65" s="8" t="s">
        <v>28</v>
      </c>
      <c r="D65" s="8" t="s">
        <v>215</v>
      </c>
      <c r="E65" s="19" t="s">
        <v>216</v>
      </c>
      <c r="F65" s="8" t="s">
        <v>31</v>
      </c>
      <c r="G65" s="30">
        <v>2.2000000000000002</v>
      </c>
      <c r="H65" s="9" t="s">
        <v>28</v>
      </c>
      <c r="I65" s="10" t="s">
        <v>28</v>
      </c>
      <c r="J65" s="10"/>
      <c r="K65" s="10"/>
      <c r="L65" s="10"/>
      <c r="M65" s="10"/>
      <c r="N65" s="10">
        <f t="shared" si="0"/>
        <v>0</v>
      </c>
      <c r="O65" s="8">
        <v>12.023999999999999</v>
      </c>
      <c r="P65" s="28">
        <f t="shared" si="1"/>
        <v>26.4528</v>
      </c>
      <c r="Q65" s="28">
        <f t="shared" si="2"/>
        <v>7.9358399999999998</v>
      </c>
      <c r="R65" s="41">
        <v>290271</v>
      </c>
      <c r="S65" s="41">
        <f t="shared" si="3"/>
        <v>2303544.21264</v>
      </c>
      <c r="T65" s="27">
        <f t="shared" si="4"/>
        <v>0</v>
      </c>
    </row>
    <row r="66" spans="1:20">
      <c r="A66" s="11">
        <v>60</v>
      </c>
      <c r="B66" s="11" t="s">
        <v>117</v>
      </c>
      <c r="C66" s="11" t="s">
        <v>28</v>
      </c>
      <c r="D66" s="11" t="s">
        <v>217</v>
      </c>
      <c r="E66" s="20" t="s">
        <v>218</v>
      </c>
      <c r="F66" s="11" t="s">
        <v>31</v>
      </c>
      <c r="G66" s="31">
        <v>908.6</v>
      </c>
      <c r="H66" s="14" t="s">
        <v>28</v>
      </c>
      <c r="I66" s="12" t="s">
        <v>28</v>
      </c>
      <c r="J66" s="12"/>
      <c r="K66" s="12"/>
      <c r="L66" s="12"/>
      <c r="M66" s="12"/>
      <c r="N66" s="10">
        <f t="shared" si="0"/>
        <v>0</v>
      </c>
      <c r="O66" s="11">
        <v>11.092000000000001</v>
      </c>
      <c r="P66" s="28">
        <f t="shared" si="1"/>
        <v>10078.191200000001</v>
      </c>
      <c r="Q66" s="28">
        <f t="shared" si="2"/>
        <v>3023.4573600000003</v>
      </c>
      <c r="R66" s="41">
        <v>290271</v>
      </c>
      <c r="S66" s="41">
        <f t="shared" si="3"/>
        <v>877621991.34456015</v>
      </c>
      <c r="T66" s="27">
        <f t="shared" si="4"/>
        <v>0</v>
      </c>
    </row>
    <row r="67" spans="1:20">
      <c r="A67" s="8">
        <v>61</v>
      </c>
      <c r="B67" s="8" t="s">
        <v>117</v>
      </c>
      <c r="C67" s="8" t="s">
        <v>28</v>
      </c>
      <c r="D67" s="8" t="s">
        <v>219</v>
      </c>
      <c r="E67" s="19" t="s">
        <v>220</v>
      </c>
      <c r="F67" s="8" t="s">
        <v>31</v>
      </c>
      <c r="G67" s="30">
        <v>193.6</v>
      </c>
      <c r="H67" s="9" t="s">
        <v>28</v>
      </c>
      <c r="I67" s="10" t="s">
        <v>28</v>
      </c>
      <c r="J67" s="10"/>
      <c r="K67" s="10"/>
      <c r="L67" s="10"/>
      <c r="M67" s="10"/>
      <c r="N67" s="10">
        <f t="shared" ref="N67:N86" si="5">SUM(J67:M67)</f>
        <v>0</v>
      </c>
      <c r="O67" s="8">
        <v>14.625999999999999</v>
      </c>
      <c r="P67" s="28">
        <f t="shared" si="1"/>
        <v>2831.5935999999997</v>
      </c>
      <c r="Q67" s="28">
        <f t="shared" ref="Q67:Q86" si="6">P67*$Q$1</f>
        <v>849.47807999999986</v>
      </c>
      <c r="R67" s="41">
        <v>290271</v>
      </c>
      <c r="S67" s="41">
        <f t="shared" ref="S67:S86" si="7">Q67*R67</f>
        <v>246578851.75967997</v>
      </c>
      <c r="T67" s="27">
        <f t="shared" ref="T67:T86" si="8">N67*O67</f>
        <v>0</v>
      </c>
    </row>
    <row r="68" spans="1:20">
      <c r="A68" s="11">
        <v>62</v>
      </c>
      <c r="B68" s="11" t="s">
        <v>117</v>
      </c>
      <c r="C68" s="11" t="s">
        <v>28</v>
      </c>
      <c r="D68" s="11" t="s">
        <v>221</v>
      </c>
      <c r="E68" s="20" t="s">
        <v>222</v>
      </c>
      <c r="F68" s="11" t="s">
        <v>31</v>
      </c>
      <c r="G68" s="31">
        <v>85.8</v>
      </c>
      <c r="H68" s="14" t="s">
        <v>28</v>
      </c>
      <c r="I68" s="12" t="s">
        <v>28</v>
      </c>
      <c r="J68" s="12"/>
      <c r="K68" s="12"/>
      <c r="L68" s="12"/>
      <c r="M68" s="12"/>
      <c r="N68" s="10">
        <f t="shared" si="5"/>
        <v>0</v>
      </c>
      <c r="O68" s="11">
        <v>21.123000000000001</v>
      </c>
      <c r="P68" s="28">
        <f t="shared" si="1"/>
        <v>1812.3534</v>
      </c>
      <c r="Q68" s="28">
        <f t="shared" si="6"/>
        <v>543.70601999999997</v>
      </c>
      <c r="R68" s="41">
        <v>290271</v>
      </c>
      <c r="S68" s="41">
        <f t="shared" si="7"/>
        <v>157822090.13141999</v>
      </c>
      <c r="T68" s="27">
        <f t="shared" si="8"/>
        <v>0</v>
      </c>
    </row>
    <row r="69" spans="1:20">
      <c r="A69" s="8">
        <v>63</v>
      </c>
      <c r="B69" s="8" t="s">
        <v>117</v>
      </c>
      <c r="C69" s="8" t="s">
        <v>28</v>
      </c>
      <c r="D69" s="8" t="s">
        <v>223</v>
      </c>
      <c r="E69" s="19" t="s">
        <v>224</v>
      </c>
      <c r="F69" s="8" t="s">
        <v>31</v>
      </c>
      <c r="G69" s="30">
        <v>34.1</v>
      </c>
      <c r="H69" s="9" t="s">
        <v>28</v>
      </c>
      <c r="I69" s="10" t="s">
        <v>28</v>
      </c>
      <c r="J69" s="10"/>
      <c r="K69" s="10"/>
      <c r="L69" s="10"/>
      <c r="M69" s="10"/>
      <c r="N69" s="10">
        <f t="shared" si="5"/>
        <v>0</v>
      </c>
      <c r="O69" s="8">
        <v>25.184000000000001</v>
      </c>
      <c r="P69" s="28">
        <f t="shared" si="1"/>
        <v>858.77440000000013</v>
      </c>
      <c r="Q69" s="28">
        <f t="shared" si="6"/>
        <v>257.63232000000005</v>
      </c>
      <c r="R69" s="41">
        <v>290271</v>
      </c>
      <c r="S69" s="41">
        <f t="shared" si="7"/>
        <v>74783191.158720016</v>
      </c>
      <c r="T69" s="27">
        <f t="shared" si="8"/>
        <v>0</v>
      </c>
    </row>
    <row r="70" spans="1:20">
      <c r="A70" s="11">
        <v>64</v>
      </c>
      <c r="B70" s="11" t="s">
        <v>117</v>
      </c>
      <c r="C70" s="11" t="s">
        <v>28</v>
      </c>
      <c r="D70" s="11" t="s">
        <v>225</v>
      </c>
      <c r="E70" s="20" t="s">
        <v>226</v>
      </c>
      <c r="F70" s="11" t="s">
        <v>31</v>
      </c>
      <c r="G70" s="31">
        <v>38.5</v>
      </c>
      <c r="H70" s="14" t="s">
        <v>28</v>
      </c>
      <c r="I70" s="12" t="s">
        <v>28</v>
      </c>
      <c r="J70" s="12"/>
      <c r="K70" s="12"/>
      <c r="L70" s="12"/>
      <c r="M70" s="12"/>
      <c r="N70" s="10">
        <f t="shared" si="5"/>
        <v>0</v>
      </c>
      <c r="O70" s="11">
        <v>33.512999999999998</v>
      </c>
      <c r="P70" s="28">
        <f t="shared" si="1"/>
        <v>1290.2504999999999</v>
      </c>
      <c r="Q70" s="28">
        <f t="shared" si="6"/>
        <v>387.07514999999995</v>
      </c>
      <c r="R70" s="41">
        <v>290271</v>
      </c>
      <c r="S70" s="41">
        <f t="shared" si="7"/>
        <v>112356690.86564998</v>
      </c>
      <c r="T70" s="27">
        <f t="shared" si="8"/>
        <v>0</v>
      </c>
    </row>
    <row r="71" spans="1:20">
      <c r="A71" s="8">
        <v>65</v>
      </c>
      <c r="B71" s="8" t="s">
        <v>117</v>
      </c>
      <c r="C71" s="8" t="s">
        <v>28</v>
      </c>
      <c r="D71" s="8" t="s">
        <v>227</v>
      </c>
      <c r="E71" s="19" t="s">
        <v>228</v>
      </c>
      <c r="F71" s="8" t="s">
        <v>31</v>
      </c>
      <c r="G71" s="30">
        <v>125.4</v>
      </c>
      <c r="H71" s="9" t="s">
        <v>28</v>
      </c>
      <c r="I71" s="10" t="s">
        <v>28</v>
      </c>
      <c r="J71" s="10"/>
      <c r="K71" s="10"/>
      <c r="L71" s="10"/>
      <c r="M71" s="10"/>
      <c r="N71" s="10">
        <f t="shared" si="5"/>
        <v>0</v>
      </c>
      <c r="O71" s="8">
        <v>56.052</v>
      </c>
      <c r="P71" s="28">
        <f t="shared" si="1"/>
        <v>7028.9207999999999</v>
      </c>
      <c r="Q71" s="28">
        <f t="shared" si="6"/>
        <v>2108.6762399999998</v>
      </c>
      <c r="R71" s="41">
        <v>290271</v>
      </c>
      <c r="S71" s="41">
        <f t="shared" si="7"/>
        <v>612087560.86103988</v>
      </c>
      <c r="T71" s="27">
        <f t="shared" si="8"/>
        <v>0</v>
      </c>
    </row>
    <row r="72" spans="1:20">
      <c r="A72" s="16">
        <v>66</v>
      </c>
      <c r="B72" s="16" t="s">
        <v>117</v>
      </c>
      <c r="C72" s="16" t="s">
        <v>28</v>
      </c>
      <c r="D72" s="16" t="s">
        <v>229</v>
      </c>
      <c r="E72" s="21" t="s">
        <v>230</v>
      </c>
      <c r="F72" s="16" t="s">
        <v>31</v>
      </c>
      <c r="G72" s="32">
        <v>39.6</v>
      </c>
      <c r="H72" s="17" t="s">
        <v>28</v>
      </c>
      <c r="I72" s="18" t="s">
        <v>28</v>
      </c>
      <c r="J72" s="18"/>
      <c r="K72" s="18"/>
      <c r="L72" s="18"/>
      <c r="M72" s="18"/>
      <c r="N72" s="10">
        <f t="shared" si="5"/>
        <v>0</v>
      </c>
      <c r="O72" s="7">
        <v>44.68</v>
      </c>
      <c r="P72" s="28">
        <f t="shared" si="1"/>
        <v>1769.328</v>
      </c>
      <c r="Q72" s="28">
        <f t="shared" si="6"/>
        <v>530.79840000000002</v>
      </c>
      <c r="R72" s="41">
        <v>290271</v>
      </c>
      <c r="S72" s="41">
        <f t="shared" si="7"/>
        <v>154075382.3664</v>
      </c>
      <c r="T72" s="27">
        <f t="shared" si="8"/>
        <v>0</v>
      </c>
    </row>
    <row r="73" spans="1:20">
      <c r="D73" s="1" t="s">
        <v>91</v>
      </c>
      <c r="E73" s="22" t="s">
        <v>233</v>
      </c>
      <c r="F73" t="s">
        <v>31</v>
      </c>
      <c r="G73" s="27">
        <v>43500</v>
      </c>
      <c r="M73" s="27">
        <v>43500</v>
      </c>
      <c r="N73" s="10">
        <f t="shared" si="5"/>
        <v>43500</v>
      </c>
      <c r="O73">
        <v>0.61</v>
      </c>
      <c r="P73" s="28">
        <f t="shared" si="1"/>
        <v>26535</v>
      </c>
      <c r="Q73" s="28">
        <f t="shared" si="6"/>
        <v>7960.5</v>
      </c>
      <c r="R73" s="41">
        <v>294059</v>
      </c>
      <c r="S73" s="41">
        <f t="shared" si="7"/>
        <v>2340856669.5</v>
      </c>
      <c r="T73" s="27">
        <f t="shared" si="8"/>
        <v>26535</v>
      </c>
    </row>
    <row r="74" spans="1:20">
      <c r="D74" s="1" t="s">
        <v>91</v>
      </c>
      <c r="E74" s="22" t="s">
        <v>234</v>
      </c>
      <c r="F74" t="s">
        <v>31</v>
      </c>
      <c r="G74" s="27">
        <v>13000</v>
      </c>
      <c r="M74" s="27">
        <v>13000</v>
      </c>
      <c r="N74" s="10">
        <f t="shared" si="5"/>
        <v>13000</v>
      </c>
      <c r="O74">
        <v>1</v>
      </c>
      <c r="P74" s="28">
        <f t="shared" ref="P74:P86" si="9">G74*O74</f>
        <v>13000</v>
      </c>
      <c r="Q74" s="28">
        <f t="shared" si="6"/>
        <v>3900</v>
      </c>
      <c r="R74" s="41">
        <v>294059</v>
      </c>
      <c r="S74" s="41">
        <f t="shared" si="7"/>
        <v>1146830100</v>
      </c>
      <c r="T74" s="27">
        <f t="shared" si="8"/>
        <v>13000</v>
      </c>
    </row>
    <row r="75" spans="1:20">
      <c r="D75" s="1" t="s">
        <v>91</v>
      </c>
      <c r="E75" s="22" t="s">
        <v>245</v>
      </c>
      <c r="F75" t="s">
        <v>242</v>
      </c>
      <c r="G75" s="27">
        <v>72000</v>
      </c>
      <c r="M75" s="27">
        <v>72000</v>
      </c>
      <c r="N75" s="10">
        <f t="shared" si="5"/>
        <v>72000</v>
      </c>
      <c r="O75">
        <v>0.08</v>
      </c>
      <c r="P75" s="28">
        <f t="shared" si="9"/>
        <v>5760</v>
      </c>
      <c r="Q75" s="28">
        <f t="shared" si="6"/>
        <v>1728</v>
      </c>
      <c r="R75" s="41">
        <v>294059</v>
      </c>
      <c r="S75" s="41">
        <f t="shared" si="7"/>
        <v>508133952</v>
      </c>
      <c r="T75" s="27">
        <f t="shared" si="8"/>
        <v>5760</v>
      </c>
    </row>
    <row r="76" spans="1:20">
      <c r="D76" s="1" t="s">
        <v>91</v>
      </c>
      <c r="E76" s="22" t="s">
        <v>246</v>
      </c>
      <c r="F76" t="s">
        <v>242</v>
      </c>
      <c r="G76" s="27">
        <v>3500</v>
      </c>
      <c r="M76" s="27">
        <v>3500</v>
      </c>
      <c r="N76" s="10">
        <f t="shared" si="5"/>
        <v>3500</v>
      </c>
      <c r="O76">
        <v>0.08</v>
      </c>
      <c r="P76" s="28">
        <f t="shared" si="9"/>
        <v>280</v>
      </c>
      <c r="Q76" s="28">
        <f t="shared" si="6"/>
        <v>84</v>
      </c>
      <c r="R76" s="41">
        <v>294059</v>
      </c>
      <c r="S76" s="41">
        <f t="shared" si="7"/>
        <v>24700956</v>
      </c>
      <c r="T76" s="27">
        <f t="shared" si="8"/>
        <v>280</v>
      </c>
    </row>
    <row r="77" spans="1:20">
      <c r="D77" s="1" t="s">
        <v>91</v>
      </c>
      <c r="E77" s="22" t="s">
        <v>235</v>
      </c>
      <c r="F77" t="s">
        <v>242</v>
      </c>
      <c r="G77" s="27">
        <v>120000</v>
      </c>
      <c r="M77" s="27">
        <v>120000</v>
      </c>
      <c r="N77" s="10">
        <f t="shared" si="5"/>
        <v>120000</v>
      </c>
      <c r="O77">
        <v>6.6000000000000003E-2</v>
      </c>
      <c r="P77" s="28">
        <f t="shared" si="9"/>
        <v>7920</v>
      </c>
      <c r="Q77" s="28">
        <f t="shared" si="6"/>
        <v>2376</v>
      </c>
      <c r="R77" s="41">
        <v>294059</v>
      </c>
      <c r="S77" s="41">
        <f t="shared" si="7"/>
        <v>698684184</v>
      </c>
      <c r="T77" s="27">
        <f t="shared" si="8"/>
        <v>7920</v>
      </c>
    </row>
    <row r="78" spans="1:20">
      <c r="D78" s="1" t="s">
        <v>91</v>
      </c>
      <c r="E78" s="22" t="s">
        <v>236</v>
      </c>
      <c r="F78" t="s">
        <v>242</v>
      </c>
      <c r="G78" s="27">
        <v>80000</v>
      </c>
      <c r="M78" s="27">
        <v>80000</v>
      </c>
      <c r="N78" s="10">
        <f t="shared" si="5"/>
        <v>80000</v>
      </c>
      <c r="O78">
        <v>5.7000000000000002E-2</v>
      </c>
      <c r="P78" s="28">
        <f t="shared" si="9"/>
        <v>4560</v>
      </c>
      <c r="Q78" s="28">
        <f t="shared" si="6"/>
        <v>1368</v>
      </c>
      <c r="R78" s="41">
        <v>294059</v>
      </c>
      <c r="S78" s="41">
        <f t="shared" si="7"/>
        <v>402272712</v>
      </c>
      <c r="T78" s="27">
        <f t="shared" si="8"/>
        <v>4560</v>
      </c>
    </row>
    <row r="79" spans="1:20">
      <c r="D79" s="1" t="s">
        <v>91</v>
      </c>
      <c r="E79" s="22" t="s">
        <v>237</v>
      </c>
      <c r="F79" t="s">
        <v>242</v>
      </c>
      <c r="G79" s="27">
        <v>120000</v>
      </c>
      <c r="M79" s="27">
        <v>53100</v>
      </c>
      <c r="N79" s="10">
        <f t="shared" si="5"/>
        <v>53100</v>
      </c>
      <c r="O79">
        <v>3.5999999999999997E-2</v>
      </c>
      <c r="P79" s="28">
        <f t="shared" si="9"/>
        <v>4320</v>
      </c>
      <c r="Q79" s="28">
        <f t="shared" si="6"/>
        <v>1296</v>
      </c>
      <c r="R79" s="41">
        <v>294059</v>
      </c>
      <c r="S79" s="41">
        <f t="shared" si="7"/>
        <v>381100464</v>
      </c>
      <c r="T79" s="27">
        <f t="shared" si="8"/>
        <v>1911.6</v>
      </c>
    </row>
    <row r="80" spans="1:20">
      <c r="D80" s="1" t="s">
        <v>91</v>
      </c>
      <c r="E80" s="22" t="s">
        <v>238</v>
      </c>
      <c r="F80" t="s">
        <v>242</v>
      </c>
      <c r="G80" s="27">
        <v>3090</v>
      </c>
      <c r="M80" s="27"/>
      <c r="N80" s="10">
        <f t="shared" si="5"/>
        <v>0</v>
      </c>
      <c r="O80">
        <v>6.6</v>
      </c>
      <c r="P80" s="28">
        <f t="shared" si="9"/>
        <v>20394</v>
      </c>
      <c r="Q80" s="28">
        <f t="shared" si="6"/>
        <v>6118.2</v>
      </c>
      <c r="R80" s="41">
        <v>294059</v>
      </c>
      <c r="S80" s="41">
        <f t="shared" si="7"/>
        <v>1799111773.8</v>
      </c>
      <c r="T80" s="27">
        <f t="shared" si="8"/>
        <v>0</v>
      </c>
    </row>
    <row r="81" spans="4:20">
      <c r="D81" s="1" t="s">
        <v>91</v>
      </c>
      <c r="E81" s="22" t="s">
        <v>239</v>
      </c>
      <c r="F81" t="s">
        <v>242</v>
      </c>
      <c r="G81" s="27">
        <v>3200</v>
      </c>
      <c r="M81" s="27">
        <v>3200</v>
      </c>
      <c r="N81" s="10">
        <f t="shared" si="5"/>
        <v>3200</v>
      </c>
      <c r="O81">
        <v>0.09</v>
      </c>
      <c r="P81" s="28">
        <f t="shared" si="9"/>
        <v>288</v>
      </c>
      <c r="Q81" s="28">
        <f t="shared" si="6"/>
        <v>86.399999999999991</v>
      </c>
      <c r="R81" s="41">
        <v>294059</v>
      </c>
      <c r="S81" s="41">
        <f t="shared" si="7"/>
        <v>25406697.599999998</v>
      </c>
      <c r="T81" s="27">
        <f t="shared" si="8"/>
        <v>288</v>
      </c>
    </row>
    <row r="82" spans="4:20">
      <c r="D82" s="1" t="s">
        <v>91</v>
      </c>
      <c r="E82" s="22" t="s">
        <v>240</v>
      </c>
      <c r="F82" t="s">
        <v>31</v>
      </c>
      <c r="G82" s="27">
        <v>106000</v>
      </c>
      <c r="M82" s="27">
        <v>106000</v>
      </c>
      <c r="N82" s="10">
        <f t="shared" si="5"/>
        <v>106000</v>
      </c>
      <c r="O82">
        <v>0.21</v>
      </c>
      <c r="P82" s="28">
        <f t="shared" si="9"/>
        <v>22260</v>
      </c>
      <c r="Q82" s="28">
        <f t="shared" si="6"/>
        <v>6678</v>
      </c>
      <c r="R82" s="41">
        <v>294059</v>
      </c>
      <c r="S82" s="41">
        <f t="shared" si="7"/>
        <v>1963726002</v>
      </c>
      <c r="T82" s="27">
        <f t="shared" si="8"/>
        <v>22260</v>
      </c>
    </row>
    <row r="83" spans="4:20">
      <c r="D83" s="1" t="s">
        <v>91</v>
      </c>
      <c r="E83" s="22" t="s">
        <v>241</v>
      </c>
      <c r="F83" t="s">
        <v>103</v>
      </c>
      <c r="G83" s="27">
        <v>75</v>
      </c>
      <c r="M83" s="27">
        <v>75</v>
      </c>
      <c r="N83" s="10">
        <f t="shared" si="5"/>
        <v>75</v>
      </c>
      <c r="O83">
        <v>15.95</v>
      </c>
      <c r="P83" s="28">
        <f t="shared" si="9"/>
        <v>1196.25</v>
      </c>
      <c r="Q83" s="28">
        <f t="shared" si="6"/>
        <v>358.875</v>
      </c>
      <c r="R83" s="41">
        <v>294059</v>
      </c>
      <c r="S83" s="41">
        <f t="shared" si="7"/>
        <v>105530423.625</v>
      </c>
      <c r="T83" s="27">
        <f t="shared" si="8"/>
        <v>1196.25</v>
      </c>
    </row>
    <row r="84" spans="4:20">
      <c r="D84" s="1" t="s">
        <v>91</v>
      </c>
      <c r="E84" s="22" t="s">
        <v>104</v>
      </c>
      <c r="F84" t="s">
        <v>105</v>
      </c>
      <c r="G84" s="27">
        <v>2075</v>
      </c>
      <c r="M84" s="27">
        <v>2075</v>
      </c>
      <c r="N84" s="10">
        <f t="shared" si="5"/>
        <v>2075</v>
      </c>
      <c r="O84">
        <v>2.65</v>
      </c>
      <c r="P84" s="28">
        <f t="shared" si="9"/>
        <v>5498.75</v>
      </c>
      <c r="Q84" s="28">
        <f t="shared" si="6"/>
        <v>1649.625</v>
      </c>
      <c r="R84" s="41">
        <v>294059</v>
      </c>
      <c r="S84" s="41">
        <f t="shared" si="7"/>
        <v>485087077.875</v>
      </c>
      <c r="T84" s="27">
        <f t="shared" si="8"/>
        <v>5498.75</v>
      </c>
    </row>
    <row r="85" spans="4:20">
      <c r="D85" s="1" t="s">
        <v>91</v>
      </c>
      <c r="E85" s="22" t="s">
        <v>106</v>
      </c>
      <c r="F85" t="s">
        <v>105</v>
      </c>
      <c r="G85" s="27">
        <v>550</v>
      </c>
      <c r="M85" s="27">
        <v>550</v>
      </c>
      <c r="N85" s="10">
        <f t="shared" si="5"/>
        <v>550</v>
      </c>
      <c r="O85">
        <v>3</v>
      </c>
      <c r="P85" s="28">
        <f t="shared" si="9"/>
        <v>1650</v>
      </c>
      <c r="Q85" s="28">
        <f t="shared" si="6"/>
        <v>495</v>
      </c>
      <c r="R85" s="41">
        <v>294059</v>
      </c>
      <c r="S85" s="41">
        <f t="shared" si="7"/>
        <v>145559205</v>
      </c>
      <c r="T85" s="27">
        <f t="shared" si="8"/>
        <v>1650</v>
      </c>
    </row>
    <row r="86" spans="4:20">
      <c r="D86" s="1" t="s">
        <v>91</v>
      </c>
      <c r="E86" s="22" t="s">
        <v>107</v>
      </c>
      <c r="F86" t="s">
        <v>105</v>
      </c>
      <c r="G86" s="27">
        <v>750</v>
      </c>
      <c r="M86" s="27">
        <v>750</v>
      </c>
      <c r="N86" s="10">
        <f t="shared" si="5"/>
        <v>750</v>
      </c>
      <c r="O86">
        <v>1.3</v>
      </c>
      <c r="P86" s="28">
        <f t="shared" si="9"/>
        <v>975</v>
      </c>
      <c r="Q86" s="28">
        <f t="shared" si="6"/>
        <v>292.5</v>
      </c>
      <c r="R86" s="41">
        <v>294059</v>
      </c>
      <c r="S86" s="41">
        <f t="shared" si="7"/>
        <v>86012257.5</v>
      </c>
      <c r="T86" s="27">
        <f t="shared" si="8"/>
        <v>975</v>
      </c>
    </row>
  </sheetData>
  <autoFilter ref="A1:O86" xr:uid="{2FCCD9BD-85FD-4F26-A006-631945D988A4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433E-D401-45A2-9F63-D4B45A16A29B}">
  <dimension ref="A1:J69"/>
  <sheetViews>
    <sheetView topLeftCell="A55" workbookViewId="0">
      <selection activeCell="E48" sqref="E48"/>
    </sheetView>
  </sheetViews>
  <sheetFormatPr defaultRowHeight="17.25" customHeight="1"/>
  <cols>
    <col min="1" max="1" width="5.85546875" style="234" customWidth="1"/>
    <col min="2" max="2" width="7.140625" style="234" bestFit="1" customWidth="1"/>
    <col min="3" max="3" width="8" style="234" bestFit="1" customWidth="1"/>
    <col min="4" max="4" width="13.140625" style="234" customWidth="1"/>
    <col min="5" max="5" width="119.7109375" style="238" customWidth="1"/>
    <col min="6" max="16384" width="9.140625" style="234"/>
  </cols>
  <sheetData>
    <row r="1" spans="1:10" ht="17.25" customHeight="1">
      <c r="A1" s="226" t="s">
        <v>0</v>
      </c>
      <c r="B1" s="226" t="s">
        <v>113</v>
      </c>
      <c r="C1" s="226" t="s">
        <v>8</v>
      </c>
      <c r="D1" s="226" t="s">
        <v>10</v>
      </c>
      <c r="E1" s="225" t="s">
        <v>11</v>
      </c>
      <c r="F1" s="226" t="s">
        <v>18</v>
      </c>
      <c r="G1" s="226" t="s">
        <v>114</v>
      </c>
      <c r="H1" s="226" t="s">
        <v>115</v>
      </c>
      <c r="I1" s="226" t="s">
        <v>116</v>
      </c>
      <c r="J1" s="226"/>
    </row>
    <row r="2" spans="1:10" ht="17.25" customHeight="1">
      <c r="A2" s="227">
        <v>1</v>
      </c>
      <c r="B2" s="227" t="s">
        <v>117</v>
      </c>
      <c r="C2" s="227" t="s">
        <v>28</v>
      </c>
      <c r="D2" s="227" t="s">
        <v>118</v>
      </c>
      <c r="E2" s="235" t="s">
        <v>119</v>
      </c>
      <c r="F2" s="227" t="s">
        <v>31</v>
      </c>
      <c r="G2" s="227">
        <v>277</v>
      </c>
      <c r="H2" s="10">
        <v>278</v>
      </c>
      <c r="I2" s="10">
        <v>278</v>
      </c>
      <c r="J2" s="227">
        <f>H2-I2</f>
        <v>0</v>
      </c>
    </row>
    <row r="3" spans="1:10" ht="17.25" customHeight="1">
      <c r="A3" s="228">
        <v>2</v>
      </c>
      <c r="B3" s="228" t="s">
        <v>117</v>
      </c>
      <c r="C3" s="228" t="s">
        <v>28</v>
      </c>
      <c r="D3" s="228" t="s">
        <v>35</v>
      </c>
      <c r="E3" s="236" t="s">
        <v>120</v>
      </c>
      <c r="F3" s="228" t="s">
        <v>31</v>
      </c>
      <c r="G3" s="228">
        <v>22</v>
      </c>
      <c r="H3" s="18">
        <v>22</v>
      </c>
      <c r="I3" s="18">
        <v>22</v>
      </c>
      <c r="J3" s="227">
        <f t="shared" ref="J3:J66" si="0">H3-I3</f>
        <v>0</v>
      </c>
    </row>
    <row r="4" spans="1:10" ht="17.25" customHeight="1">
      <c r="A4" s="227">
        <v>3</v>
      </c>
      <c r="B4" s="227" t="s">
        <v>117</v>
      </c>
      <c r="C4" s="227" t="s">
        <v>28</v>
      </c>
      <c r="D4" s="227" t="s">
        <v>37</v>
      </c>
      <c r="E4" s="235" t="s">
        <v>121</v>
      </c>
      <c r="F4" s="227" t="s">
        <v>31</v>
      </c>
      <c r="G4" s="227">
        <v>1</v>
      </c>
      <c r="H4" s="10">
        <v>2</v>
      </c>
      <c r="I4" s="10">
        <v>2</v>
      </c>
      <c r="J4" s="227">
        <f t="shared" si="0"/>
        <v>0</v>
      </c>
    </row>
    <row r="5" spans="1:10" ht="17.25" customHeight="1">
      <c r="A5" s="230">
        <v>4</v>
      </c>
      <c r="B5" s="230" t="s">
        <v>117</v>
      </c>
      <c r="C5" s="230" t="s">
        <v>28</v>
      </c>
      <c r="D5" s="230" t="s">
        <v>48</v>
      </c>
      <c r="E5" s="237" t="s">
        <v>122</v>
      </c>
      <c r="F5" s="230" t="s">
        <v>31</v>
      </c>
      <c r="G5" s="229">
        <v>1558</v>
      </c>
      <c r="H5" s="13">
        <v>1558</v>
      </c>
      <c r="I5" s="13">
        <v>1558</v>
      </c>
      <c r="J5" s="227">
        <f t="shared" si="0"/>
        <v>0</v>
      </c>
    </row>
    <row r="6" spans="1:10" ht="17.25" customHeight="1">
      <c r="A6" s="227">
        <v>5</v>
      </c>
      <c r="B6" s="227" t="s">
        <v>117</v>
      </c>
      <c r="C6" s="227" t="s">
        <v>28</v>
      </c>
      <c r="D6" s="227" t="s">
        <v>50</v>
      </c>
      <c r="E6" s="235" t="s">
        <v>123</v>
      </c>
      <c r="F6" s="227" t="s">
        <v>31</v>
      </c>
      <c r="G6" s="227">
        <v>122</v>
      </c>
      <c r="H6" s="10">
        <v>191</v>
      </c>
      <c r="I6" s="10">
        <v>191</v>
      </c>
      <c r="J6" s="227">
        <f t="shared" si="0"/>
        <v>0</v>
      </c>
    </row>
    <row r="7" spans="1:10" ht="17.25" customHeight="1">
      <c r="A7" s="230">
        <v>6</v>
      </c>
      <c r="B7" s="230" t="s">
        <v>117</v>
      </c>
      <c r="C7" s="230" t="s">
        <v>28</v>
      </c>
      <c r="D7" s="230" t="s">
        <v>52</v>
      </c>
      <c r="E7" s="237" t="s">
        <v>124</v>
      </c>
      <c r="F7" s="230" t="s">
        <v>31</v>
      </c>
      <c r="G7" s="230">
        <v>4</v>
      </c>
      <c r="H7" s="12">
        <v>5</v>
      </c>
      <c r="I7" s="12">
        <v>5</v>
      </c>
      <c r="J7" s="227">
        <f t="shared" si="0"/>
        <v>0</v>
      </c>
    </row>
    <row r="8" spans="1:10" ht="17.25" customHeight="1">
      <c r="A8" s="227">
        <v>7</v>
      </c>
      <c r="B8" s="227" t="s">
        <v>117</v>
      </c>
      <c r="C8" s="227" t="s">
        <v>28</v>
      </c>
      <c r="D8" s="227" t="s">
        <v>125</v>
      </c>
      <c r="E8" s="235" t="s">
        <v>126</v>
      </c>
      <c r="F8" s="227" t="s">
        <v>31</v>
      </c>
      <c r="G8" s="231">
        <v>1104</v>
      </c>
      <c r="H8" s="15">
        <v>5099</v>
      </c>
      <c r="I8" s="15">
        <v>5099</v>
      </c>
      <c r="J8" s="227">
        <f t="shared" si="0"/>
        <v>0</v>
      </c>
    </row>
    <row r="9" spans="1:10" ht="17.25" customHeight="1">
      <c r="A9" s="230">
        <v>8</v>
      </c>
      <c r="B9" s="230" t="s">
        <v>117</v>
      </c>
      <c r="C9" s="230" t="s">
        <v>28</v>
      </c>
      <c r="D9" s="230" t="s">
        <v>127</v>
      </c>
      <c r="E9" s="237" t="s">
        <v>128</v>
      </c>
      <c r="F9" s="230" t="s">
        <v>31</v>
      </c>
      <c r="G9" s="230">
        <v>323</v>
      </c>
      <c r="H9" s="12">
        <v>324</v>
      </c>
      <c r="I9" s="12">
        <v>324</v>
      </c>
      <c r="J9" s="227">
        <f t="shared" si="0"/>
        <v>0</v>
      </c>
    </row>
    <row r="10" spans="1:10" ht="17.25" customHeight="1">
      <c r="A10" s="227">
        <v>9</v>
      </c>
      <c r="B10" s="227" t="s">
        <v>117</v>
      </c>
      <c r="C10" s="227" t="s">
        <v>28</v>
      </c>
      <c r="D10" s="227" t="s">
        <v>39</v>
      </c>
      <c r="E10" s="235" t="s">
        <v>129</v>
      </c>
      <c r="F10" s="227" t="s">
        <v>31</v>
      </c>
      <c r="G10" s="227">
        <v>3</v>
      </c>
      <c r="H10" s="10">
        <v>4</v>
      </c>
      <c r="I10" s="10">
        <v>4</v>
      </c>
      <c r="J10" s="227">
        <f t="shared" si="0"/>
        <v>0</v>
      </c>
    </row>
    <row r="11" spans="1:10" ht="17.25" customHeight="1">
      <c r="A11" s="230">
        <v>10</v>
      </c>
      <c r="B11" s="230" t="s">
        <v>117</v>
      </c>
      <c r="C11" s="230" t="s">
        <v>28</v>
      </c>
      <c r="D11" s="230" t="s">
        <v>130</v>
      </c>
      <c r="E11" s="237" t="s">
        <v>131</v>
      </c>
      <c r="F11" s="230" t="s">
        <v>31</v>
      </c>
      <c r="G11" s="229">
        <v>1697</v>
      </c>
      <c r="H11" s="13">
        <v>1698</v>
      </c>
      <c r="I11" s="13">
        <v>1698</v>
      </c>
      <c r="J11" s="227">
        <f t="shared" si="0"/>
        <v>0</v>
      </c>
    </row>
    <row r="12" spans="1:10" ht="17.25" customHeight="1">
      <c r="A12" s="227">
        <v>11</v>
      </c>
      <c r="B12" s="227" t="s">
        <v>117</v>
      </c>
      <c r="C12" s="227" t="s">
        <v>28</v>
      </c>
      <c r="D12" s="227" t="s">
        <v>132</v>
      </c>
      <c r="E12" s="235" t="s">
        <v>133</v>
      </c>
      <c r="F12" s="227" t="s">
        <v>31</v>
      </c>
      <c r="G12" s="227">
        <v>131</v>
      </c>
      <c r="H12" s="10">
        <v>131</v>
      </c>
      <c r="I12" s="10">
        <v>131</v>
      </c>
      <c r="J12" s="227">
        <f t="shared" si="0"/>
        <v>0</v>
      </c>
    </row>
    <row r="13" spans="1:10" ht="17.25" customHeight="1">
      <c r="A13" s="230">
        <v>12</v>
      </c>
      <c r="B13" s="230" t="s">
        <v>117</v>
      </c>
      <c r="C13" s="230" t="s">
        <v>28</v>
      </c>
      <c r="D13" s="230" t="s">
        <v>134</v>
      </c>
      <c r="E13" s="237" t="s">
        <v>135</v>
      </c>
      <c r="F13" s="230" t="s">
        <v>31</v>
      </c>
      <c r="G13" s="230">
        <v>1</v>
      </c>
      <c r="H13" s="12">
        <v>2</v>
      </c>
      <c r="I13" s="12">
        <v>2</v>
      </c>
      <c r="J13" s="227">
        <f t="shared" si="0"/>
        <v>0</v>
      </c>
    </row>
    <row r="14" spans="1:10" ht="17.25" customHeight="1">
      <c r="A14" s="227">
        <v>13</v>
      </c>
      <c r="B14" s="227" t="s">
        <v>117</v>
      </c>
      <c r="C14" s="227" t="s">
        <v>28</v>
      </c>
      <c r="D14" s="227" t="s">
        <v>41</v>
      </c>
      <c r="E14" s="235" t="s">
        <v>136</v>
      </c>
      <c r="F14" s="227" t="s">
        <v>31</v>
      </c>
      <c r="G14" s="231">
        <v>2009</v>
      </c>
      <c r="H14" s="15">
        <v>3050</v>
      </c>
      <c r="I14" s="15">
        <v>3050</v>
      </c>
      <c r="J14" s="227">
        <f t="shared" si="0"/>
        <v>0</v>
      </c>
    </row>
    <row r="15" spans="1:10" ht="17.25" customHeight="1">
      <c r="A15" s="230">
        <v>14</v>
      </c>
      <c r="B15" s="230" t="s">
        <v>117</v>
      </c>
      <c r="C15" s="230" t="s">
        <v>28</v>
      </c>
      <c r="D15" s="230" t="s">
        <v>137</v>
      </c>
      <c r="E15" s="237" t="s">
        <v>138</v>
      </c>
      <c r="F15" s="230" t="s">
        <v>31</v>
      </c>
      <c r="G15" s="230">
        <v>956</v>
      </c>
      <c r="H15" s="13">
        <v>1963</v>
      </c>
      <c r="I15" s="13">
        <v>1963</v>
      </c>
      <c r="J15" s="227">
        <f t="shared" si="0"/>
        <v>0</v>
      </c>
    </row>
    <row r="16" spans="1:10" ht="17.25" customHeight="1">
      <c r="A16" s="227">
        <v>15</v>
      </c>
      <c r="B16" s="227" t="s">
        <v>117</v>
      </c>
      <c r="C16" s="227" t="s">
        <v>28</v>
      </c>
      <c r="D16" s="227" t="s">
        <v>54</v>
      </c>
      <c r="E16" s="235" t="s">
        <v>139</v>
      </c>
      <c r="F16" s="227" t="s">
        <v>31</v>
      </c>
      <c r="G16" s="227">
        <v>37</v>
      </c>
      <c r="H16" s="10">
        <v>38</v>
      </c>
      <c r="I16" s="10">
        <v>38</v>
      </c>
      <c r="J16" s="227">
        <f t="shared" si="0"/>
        <v>0</v>
      </c>
    </row>
    <row r="17" spans="1:10" ht="17.25" customHeight="1">
      <c r="A17" s="230">
        <v>16</v>
      </c>
      <c r="B17" s="230" t="s">
        <v>117</v>
      </c>
      <c r="C17" s="230" t="s">
        <v>28</v>
      </c>
      <c r="D17" s="230" t="s">
        <v>140</v>
      </c>
      <c r="E17" s="237" t="s">
        <v>141</v>
      </c>
      <c r="F17" s="230" t="s">
        <v>31</v>
      </c>
      <c r="G17" s="230">
        <v>1</v>
      </c>
      <c r="H17" s="12">
        <v>2</v>
      </c>
      <c r="I17" s="12">
        <v>2</v>
      </c>
      <c r="J17" s="227">
        <f t="shared" si="0"/>
        <v>0</v>
      </c>
    </row>
    <row r="18" spans="1:10" ht="17.25" customHeight="1">
      <c r="A18" s="227">
        <v>17</v>
      </c>
      <c r="B18" s="227" t="s">
        <v>117</v>
      </c>
      <c r="C18" s="227" t="s">
        <v>28</v>
      </c>
      <c r="D18" s="227" t="s">
        <v>111</v>
      </c>
      <c r="E18" s="235" t="s">
        <v>142</v>
      </c>
      <c r="F18" s="227" t="s">
        <v>31</v>
      </c>
      <c r="G18" s="231">
        <v>1170</v>
      </c>
      <c r="H18" s="15">
        <v>1171</v>
      </c>
      <c r="I18" s="15">
        <v>1171</v>
      </c>
      <c r="J18" s="227">
        <f t="shared" si="0"/>
        <v>0</v>
      </c>
    </row>
    <row r="19" spans="1:10" ht="17.25" customHeight="1">
      <c r="A19" s="230">
        <v>18</v>
      </c>
      <c r="B19" s="230" t="s">
        <v>117</v>
      </c>
      <c r="C19" s="230" t="s">
        <v>28</v>
      </c>
      <c r="D19" s="230" t="s">
        <v>82</v>
      </c>
      <c r="E19" s="237" t="s">
        <v>143</v>
      </c>
      <c r="F19" s="230" t="s">
        <v>31</v>
      </c>
      <c r="G19" s="230">
        <v>620</v>
      </c>
      <c r="H19" s="12">
        <v>621</v>
      </c>
      <c r="I19" s="12">
        <v>621</v>
      </c>
      <c r="J19" s="227">
        <f t="shared" si="0"/>
        <v>0</v>
      </c>
    </row>
    <row r="20" spans="1:10" ht="17.25" customHeight="1">
      <c r="A20" s="227">
        <v>19</v>
      </c>
      <c r="B20" s="227" t="s">
        <v>117</v>
      </c>
      <c r="C20" s="227" t="s">
        <v>28</v>
      </c>
      <c r="D20" s="227" t="s">
        <v>144</v>
      </c>
      <c r="E20" s="235" t="s">
        <v>145</v>
      </c>
      <c r="F20" s="227" t="s">
        <v>31</v>
      </c>
      <c r="G20" s="227">
        <v>139</v>
      </c>
      <c r="H20" s="10">
        <v>139</v>
      </c>
      <c r="I20" s="10">
        <v>139</v>
      </c>
      <c r="J20" s="227">
        <f t="shared" si="0"/>
        <v>0</v>
      </c>
    </row>
    <row r="21" spans="1:10" ht="17.25" customHeight="1">
      <c r="A21" s="230">
        <v>20</v>
      </c>
      <c r="B21" s="230" t="s">
        <v>117</v>
      </c>
      <c r="C21" s="230" t="s">
        <v>28</v>
      </c>
      <c r="D21" s="230" t="s">
        <v>146</v>
      </c>
      <c r="E21" s="237" t="s">
        <v>147</v>
      </c>
      <c r="F21" s="230" t="s">
        <v>31</v>
      </c>
      <c r="G21" s="230">
        <v>76</v>
      </c>
      <c r="H21" s="12">
        <v>118</v>
      </c>
      <c r="I21" s="12">
        <v>118</v>
      </c>
      <c r="J21" s="227">
        <f t="shared" si="0"/>
        <v>0</v>
      </c>
    </row>
    <row r="22" spans="1:10" ht="17.25" customHeight="1">
      <c r="A22" s="227">
        <v>21</v>
      </c>
      <c r="B22" s="227" t="s">
        <v>117</v>
      </c>
      <c r="C22" s="227" t="s">
        <v>28</v>
      </c>
      <c r="D22" s="227" t="s">
        <v>148</v>
      </c>
      <c r="E22" s="235" t="s">
        <v>149</v>
      </c>
      <c r="F22" s="227" t="s">
        <v>31</v>
      </c>
      <c r="G22" s="231">
        <v>1020</v>
      </c>
      <c r="H22" s="15">
        <v>1481</v>
      </c>
      <c r="I22" s="15">
        <v>1481</v>
      </c>
      <c r="J22" s="227">
        <f t="shared" si="0"/>
        <v>0</v>
      </c>
    </row>
    <row r="23" spans="1:10" ht="17.25" customHeight="1">
      <c r="A23" s="230">
        <v>22</v>
      </c>
      <c r="B23" s="230" t="s">
        <v>117</v>
      </c>
      <c r="C23" s="230" t="s">
        <v>28</v>
      </c>
      <c r="D23" s="230" t="s">
        <v>150</v>
      </c>
      <c r="E23" s="237" t="s">
        <v>151</v>
      </c>
      <c r="F23" s="230" t="s">
        <v>31</v>
      </c>
      <c r="G23" s="230">
        <v>133</v>
      </c>
      <c r="H23" s="12">
        <v>134</v>
      </c>
      <c r="I23" s="12">
        <v>134</v>
      </c>
      <c r="J23" s="227">
        <f t="shared" si="0"/>
        <v>0</v>
      </c>
    </row>
    <row r="24" spans="1:10" ht="17.25" customHeight="1">
      <c r="A24" s="227">
        <v>23</v>
      </c>
      <c r="B24" s="227" t="s">
        <v>117</v>
      </c>
      <c r="C24" s="227" t="s">
        <v>28</v>
      </c>
      <c r="D24" s="227" t="s">
        <v>152</v>
      </c>
      <c r="E24" s="235" t="s">
        <v>153</v>
      </c>
      <c r="F24" s="227" t="s">
        <v>31</v>
      </c>
      <c r="G24" s="227">
        <v>68</v>
      </c>
      <c r="H24" s="10">
        <v>69</v>
      </c>
      <c r="I24" s="10">
        <v>69</v>
      </c>
      <c r="J24" s="227">
        <f t="shared" si="0"/>
        <v>0</v>
      </c>
    </row>
    <row r="25" spans="1:10" ht="17.25" customHeight="1">
      <c r="A25" s="230">
        <v>24</v>
      </c>
      <c r="B25" s="230" t="s">
        <v>117</v>
      </c>
      <c r="C25" s="230" t="s">
        <v>28</v>
      </c>
      <c r="D25" s="230" t="s">
        <v>43</v>
      </c>
      <c r="E25" s="237" t="s">
        <v>154</v>
      </c>
      <c r="F25" s="230" t="s">
        <v>31</v>
      </c>
      <c r="G25" s="230">
        <v>132</v>
      </c>
      <c r="H25" s="12">
        <v>132</v>
      </c>
      <c r="I25" s="12">
        <v>132</v>
      </c>
      <c r="J25" s="227">
        <f t="shared" si="0"/>
        <v>0</v>
      </c>
    </row>
    <row r="26" spans="1:10" ht="17.25" customHeight="1">
      <c r="A26" s="227">
        <v>25</v>
      </c>
      <c r="B26" s="227" t="s">
        <v>117</v>
      </c>
      <c r="C26" s="227" t="s">
        <v>28</v>
      </c>
      <c r="D26" s="227" t="s">
        <v>155</v>
      </c>
      <c r="E26" s="235" t="s">
        <v>156</v>
      </c>
      <c r="F26" s="227" t="s">
        <v>31</v>
      </c>
      <c r="G26" s="231">
        <v>1480</v>
      </c>
      <c r="H26" s="15">
        <v>1675</v>
      </c>
      <c r="I26" s="15">
        <v>1675</v>
      </c>
      <c r="J26" s="227">
        <f t="shared" si="0"/>
        <v>0</v>
      </c>
    </row>
    <row r="27" spans="1:10" ht="17.25" customHeight="1">
      <c r="A27" s="230">
        <v>26</v>
      </c>
      <c r="B27" s="230" t="s">
        <v>117</v>
      </c>
      <c r="C27" s="230" t="s">
        <v>28</v>
      </c>
      <c r="D27" s="230" t="s">
        <v>56</v>
      </c>
      <c r="E27" s="237" t="s">
        <v>157</v>
      </c>
      <c r="F27" s="230" t="s">
        <v>31</v>
      </c>
      <c r="G27" s="230">
        <v>48</v>
      </c>
      <c r="H27" s="12">
        <v>177</v>
      </c>
      <c r="I27" s="12">
        <v>177</v>
      </c>
      <c r="J27" s="227">
        <f t="shared" si="0"/>
        <v>0</v>
      </c>
    </row>
    <row r="28" spans="1:10" ht="17.25" customHeight="1">
      <c r="A28" s="227">
        <v>27</v>
      </c>
      <c r="B28" s="227" t="s">
        <v>117</v>
      </c>
      <c r="C28" s="227" t="s">
        <v>28</v>
      </c>
      <c r="D28" s="227" t="s">
        <v>29</v>
      </c>
      <c r="E28" s="235" t="s">
        <v>158</v>
      </c>
      <c r="F28" s="227" t="s">
        <v>31</v>
      </c>
      <c r="G28" s="227">
        <v>371</v>
      </c>
      <c r="H28" s="10">
        <v>371</v>
      </c>
      <c r="I28" s="10">
        <v>371</v>
      </c>
      <c r="J28" s="227">
        <f t="shared" si="0"/>
        <v>0</v>
      </c>
    </row>
    <row r="29" spans="1:10" ht="17.25" customHeight="1">
      <c r="A29" s="230">
        <v>28</v>
      </c>
      <c r="B29" s="230" t="s">
        <v>117</v>
      </c>
      <c r="C29" s="230" t="s">
        <v>28</v>
      </c>
      <c r="D29" s="230" t="s">
        <v>77</v>
      </c>
      <c r="E29" s="237" t="s">
        <v>159</v>
      </c>
      <c r="F29" s="230" t="s">
        <v>31</v>
      </c>
      <c r="G29" s="230">
        <v>440</v>
      </c>
      <c r="H29" s="12">
        <v>440</v>
      </c>
      <c r="I29" s="12">
        <v>440</v>
      </c>
      <c r="J29" s="227">
        <f t="shared" si="0"/>
        <v>0</v>
      </c>
    </row>
    <row r="30" spans="1:10" ht="17.25" customHeight="1">
      <c r="A30" s="227">
        <v>29</v>
      </c>
      <c r="B30" s="227" t="s">
        <v>117</v>
      </c>
      <c r="C30" s="227" t="s">
        <v>28</v>
      </c>
      <c r="D30" s="227" t="s">
        <v>160</v>
      </c>
      <c r="E30" s="235" t="s">
        <v>161</v>
      </c>
      <c r="F30" s="227" t="s">
        <v>31</v>
      </c>
      <c r="G30" s="227">
        <v>128</v>
      </c>
      <c r="H30" s="9" t="s">
        <v>28</v>
      </c>
      <c r="I30" s="10" t="s">
        <v>28</v>
      </c>
      <c r="J30" s="227" t="e">
        <f t="shared" si="0"/>
        <v>#VALUE!</v>
      </c>
    </row>
    <row r="31" spans="1:10" ht="17.25" customHeight="1">
      <c r="A31" s="230">
        <v>30</v>
      </c>
      <c r="B31" s="230" t="s">
        <v>117</v>
      </c>
      <c r="C31" s="230" t="s">
        <v>28</v>
      </c>
      <c r="D31" s="230" t="s">
        <v>162</v>
      </c>
      <c r="E31" s="237" t="s">
        <v>163</v>
      </c>
      <c r="F31" s="230" t="s">
        <v>31</v>
      </c>
      <c r="G31" s="230">
        <v>10</v>
      </c>
      <c r="H31" s="12">
        <v>10</v>
      </c>
      <c r="I31" s="12">
        <v>10</v>
      </c>
      <c r="J31" s="227">
        <f t="shared" si="0"/>
        <v>0</v>
      </c>
    </row>
    <row r="32" spans="1:10" ht="17.25" customHeight="1">
      <c r="A32" s="227">
        <v>31</v>
      </c>
      <c r="B32" s="227" t="s">
        <v>117</v>
      </c>
      <c r="C32" s="227" t="s">
        <v>28</v>
      </c>
      <c r="D32" s="227" t="s">
        <v>58</v>
      </c>
      <c r="E32" s="235" t="s">
        <v>164</v>
      </c>
      <c r="F32" s="227" t="s">
        <v>31</v>
      </c>
      <c r="G32" s="227">
        <v>178</v>
      </c>
      <c r="H32" s="10">
        <v>666</v>
      </c>
      <c r="I32" s="10">
        <v>666</v>
      </c>
      <c r="J32" s="227">
        <f t="shared" si="0"/>
        <v>0</v>
      </c>
    </row>
    <row r="33" spans="1:10" ht="17.25" customHeight="1">
      <c r="A33" s="230">
        <v>32</v>
      </c>
      <c r="B33" s="230" t="s">
        <v>117</v>
      </c>
      <c r="C33" s="230" t="s">
        <v>28</v>
      </c>
      <c r="D33" s="230" t="s">
        <v>165</v>
      </c>
      <c r="E33" s="237" t="s">
        <v>166</v>
      </c>
      <c r="F33" s="230" t="s">
        <v>31</v>
      </c>
      <c r="G33" s="230">
        <v>348</v>
      </c>
      <c r="H33" s="12">
        <v>348</v>
      </c>
      <c r="I33" s="12">
        <v>348</v>
      </c>
      <c r="J33" s="227">
        <f t="shared" si="0"/>
        <v>0</v>
      </c>
    </row>
    <row r="34" spans="1:10" ht="17.25" customHeight="1">
      <c r="A34" s="227">
        <v>33</v>
      </c>
      <c r="B34" s="227" t="s">
        <v>117</v>
      </c>
      <c r="C34" s="227" t="s">
        <v>28</v>
      </c>
      <c r="D34" s="227" t="s">
        <v>167</v>
      </c>
      <c r="E34" s="235" t="s">
        <v>168</v>
      </c>
      <c r="F34" s="227" t="s">
        <v>31</v>
      </c>
      <c r="G34" s="227">
        <v>238</v>
      </c>
      <c r="H34" s="10">
        <v>238</v>
      </c>
      <c r="I34" s="10">
        <v>238</v>
      </c>
      <c r="J34" s="227">
        <f t="shared" si="0"/>
        <v>0</v>
      </c>
    </row>
    <row r="35" spans="1:10" ht="17.25" customHeight="1">
      <c r="A35" s="230">
        <v>34</v>
      </c>
      <c r="B35" s="230" t="s">
        <v>117</v>
      </c>
      <c r="C35" s="230" t="s">
        <v>28</v>
      </c>
      <c r="D35" s="230" t="s">
        <v>169</v>
      </c>
      <c r="E35" s="237" t="s">
        <v>170</v>
      </c>
      <c r="F35" s="230" t="s">
        <v>31</v>
      </c>
      <c r="G35" s="230">
        <v>187</v>
      </c>
      <c r="H35" s="14" t="s">
        <v>28</v>
      </c>
      <c r="I35" s="12" t="s">
        <v>28</v>
      </c>
      <c r="J35" s="227" t="e">
        <f t="shared" si="0"/>
        <v>#VALUE!</v>
      </c>
    </row>
    <row r="36" spans="1:10" ht="17.25" customHeight="1">
      <c r="A36" s="227">
        <v>35</v>
      </c>
      <c r="B36" s="227" t="s">
        <v>117</v>
      </c>
      <c r="C36" s="227" t="s">
        <v>28</v>
      </c>
      <c r="D36" s="227" t="s">
        <v>171</v>
      </c>
      <c r="E36" s="235" t="s">
        <v>172</v>
      </c>
      <c r="F36" s="227" t="s">
        <v>31</v>
      </c>
      <c r="G36" s="227">
        <v>40</v>
      </c>
      <c r="H36" s="10">
        <v>40</v>
      </c>
      <c r="I36" s="10">
        <v>40</v>
      </c>
      <c r="J36" s="227">
        <f t="shared" si="0"/>
        <v>0</v>
      </c>
    </row>
    <row r="37" spans="1:10" ht="17.25" customHeight="1">
      <c r="A37" s="230">
        <v>36</v>
      </c>
      <c r="B37" s="230" t="s">
        <v>117</v>
      </c>
      <c r="C37" s="230" t="s">
        <v>28</v>
      </c>
      <c r="D37" s="230" t="s">
        <v>173</v>
      </c>
      <c r="E37" s="237" t="s">
        <v>174</v>
      </c>
      <c r="F37" s="230" t="s">
        <v>31</v>
      </c>
      <c r="G37" s="230">
        <v>102</v>
      </c>
      <c r="H37" s="12">
        <v>521</v>
      </c>
      <c r="I37" s="12">
        <v>521</v>
      </c>
      <c r="J37" s="227">
        <f t="shared" si="0"/>
        <v>0</v>
      </c>
    </row>
    <row r="38" spans="1:10" ht="17.25" customHeight="1">
      <c r="A38" s="227">
        <v>37</v>
      </c>
      <c r="B38" s="227" t="s">
        <v>117</v>
      </c>
      <c r="C38" s="227" t="s">
        <v>28</v>
      </c>
      <c r="D38" s="227" t="s">
        <v>175</v>
      </c>
      <c r="E38" s="235" t="s">
        <v>176</v>
      </c>
      <c r="F38" s="227" t="s">
        <v>31</v>
      </c>
      <c r="G38" s="227">
        <v>573</v>
      </c>
      <c r="H38" s="9">
        <v>573</v>
      </c>
      <c r="I38" s="10">
        <v>573</v>
      </c>
      <c r="J38" s="227">
        <f t="shared" si="0"/>
        <v>0</v>
      </c>
    </row>
    <row r="39" spans="1:10" ht="17.25" customHeight="1">
      <c r="A39" s="230">
        <v>38</v>
      </c>
      <c r="B39" s="230" t="s">
        <v>117</v>
      </c>
      <c r="C39" s="230" t="s">
        <v>28</v>
      </c>
      <c r="D39" s="230" t="s">
        <v>71</v>
      </c>
      <c r="E39" s="237" t="s">
        <v>177</v>
      </c>
      <c r="F39" s="230" t="s">
        <v>31</v>
      </c>
      <c r="G39" s="230">
        <v>216</v>
      </c>
      <c r="H39" s="12">
        <v>216</v>
      </c>
      <c r="I39" s="12">
        <v>216</v>
      </c>
      <c r="J39" s="227">
        <f t="shared" si="0"/>
        <v>0</v>
      </c>
    </row>
    <row r="40" spans="1:10" ht="17.25" customHeight="1">
      <c r="A40" s="227">
        <v>39</v>
      </c>
      <c r="B40" s="227" t="s">
        <v>117</v>
      </c>
      <c r="C40" s="227" t="s">
        <v>28</v>
      </c>
      <c r="D40" s="227" t="s">
        <v>178</v>
      </c>
      <c r="E40" s="235" t="s">
        <v>179</v>
      </c>
      <c r="F40" s="227" t="s">
        <v>31</v>
      </c>
      <c r="G40" s="227">
        <v>241</v>
      </c>
      <c r="H40" s="9" t="s">
        <v>28</v>
      </c>
      <c r="I40" s="10" t="s">
        <v>28</v>
      </c>
      <c r="J40" s="227" t="e">
        <f t="shared" si="0"/>
        <v>#VALUE!</v>
      </c>
    </row>
    <row r="41" spans="1:10" ht="17.25" customHeight="1">
      <c r="A41" s="230">
        <v>40</v>
      </c>
      <c r="B41" s="230" t="s">
        <v>117</v>
      </c>
      <c r="C41" s="230" t="s">
        <v>28</v>
      </c>
      <c r="D41" s="230" t="s">
        <v>180</v>
      </c>
      <c r="E41" s="237" t="s">
        <v>181</v>
      </c>
      <c r="F41" s="230" t="s">
        <v>31</v>
      </c>
      <c r="G41" s="230">
        <v>177</v>
      </c>
      <c r="H41" s="14" t="s">
        <v>28</v>
      </c>
      <c r="I41" s="12" t="s">
        <v>28</v>
      </c>
      <c r="J41" s="227" t="e">
        <f t="shared" si="0"/>
        <v>#VALUE!</v>
      </c>
    </row>
    <row r="42" spans="1:10" ht="17.25" customHeight="1">
      <c r="A42" s="227">
        <v>41</v>
      </c>
      <c r="B42" s="227" t="s">
        <v>117</v>
      </c>
      <c r="C42" s="227" t="s">
        <v>28</v>
      </c>
      <c r="D42" s="227" t="s">
        <v>182</v>
      </c>
      <c r="E42" s="235" t="s">
        <v>183</v>
      </c>
      <c r="F42" s="227" t="s">
        <v>31</v>
      </c>
      <c r="G42" s="227">
        <v>1</v>
      </c>
      <c r="H42" s="10">
        <v>1</v>
      </c>
      <c r="I42" s="10">
        <v>1</v>
      </c>
      <c r="J42" s="227">
        <f t="shared" si="0"/>
        <v>0</v>
      </c>
    </row>
    <row r="43" spans="1:10" ht="17.25" customHeight="1">
      <c r="A43" s="230">
        <v>42</v>
      </c>
      <c r="B43" s="230" t="s">
        <v>117</v>
      </c>
      <c r="C43" s="230" t="s">
        <v>28</v>
      </c>
      <c r="D43" s="230" t="s">
        <v>184</v>
      </c>
      <c r="E43" s="237" t="s">
        <v>185</v>
      </c>
      <c r="F43" s="230" t="s">
        <v>31</v>
      </c>
      <c r="G43" s="230">
        <v>6</v>
      </c>
      <c r="H43" s="12">
        <v>6</v>
      </c>
      <c r="I43" s="12">
        <v>6</v>
      </c>
      <c r="J43" s="227">
        <f t="shared" si="0"/>
        <v>0</v>
      </c>
    </row>
    <row r="44" spans="1:10" ht="17.25" customHeight="1">
      <c r="A44" s="227">
        <v>43</v>
      </c>
      <c r="B44" s="227" t="s">
        <v>117</v>
      </c>
      <c r="C44" s="227" t="s">
        <v>28</v>
      </c>
      <c r="D44" s="227" t="s">
        <v>186</v>
      </c>
      <c r="E44" s="235" t="s">
        <v>187</v>
      </c>
      <c r="F44" s="227" t="s">
        <v>65</v>
      </c>
      <c r="G44" s="227">
        <v>88</v>
      </c>
      <c r="H44" s="15">
        <v>1374</v>
      </c>
      <c r="I44" s="15">
        <v>1374</v>
      </c>
      <c r="J44" s="227">
        <f t="shared" si="0"/>
        <v>0</v>
      </c>
    </row>
    <row r="45" spans="1:10" ht="17.25" customHeight="1">
      <c r="A45" s="230">
        <v>44</v>
      </c>
      <c r="B45" s="230" t="s">
        <v>117</v>
      </c>
      <c r="C45" s="230" t="s">
        <v>28</v>
      </c>
      <c r="D45" s="230" t="s">
        <v>290</v>
      </c>
      <c r="E45" s="237" t="s">
        <v>231</v>
      </c>
      <c r="F45" s="230" t="s">
        <v>65</v>
      </c>
      <c r="G45" s="230">
        <v>1</v>
      </c>
      <c r="H45" s="12">
        <v>953</v>
      </c>
      <c r="I45" s="12">
        <v>953</v>
      </c>
      <c r="J45" s="227">
        <f t="shared" si="0"/>
        <v>0</v>
      </c>
    </row>
    <row r="46" spans="1:10" ht="17.25" customHeight="1">
      <c r="A46" s="227">
        <v>45</v>
      </c>
      <c r="B46" s="227" t="s">
        <v>117</v>
      </c>
      <c r="C46" s="227" t="s">
        <v>28</v>
      </c>
      <c r="D46" s="227" t="s">
        <v>188</v>
      </c>
      <c r="E46" s="235" t="s">
        <v>189</v>
      </c>
      <c r="F46" s="227" t="s">
        <v>65</v>
      </c>
      <c r="G46" s="231">
        <v>1008</v>
      </c>
      <c r="H46" s="15">
        <v>1479</v>
      </c>
      <c r="I46" s="15">
        <v>1479</v>
      </c>
      <c r="J46" s="227">
        <f t="shared" si="0"/>
        <v>0</v>
      </c>
    </row>
    <row r="47" spans="1:10" ht="17.25" customHeight="1">
      <c r="A47" s="230">
        <v>46</v>
      </c>
      <c r="B47" s="230" t="s">
        <v>117</v>
      </c>
      <c r="C47" s="230" t="s">
        <v>28</v>
      </c>
      <c r="D47" s="230" t="s">
        <v>190</v>
      </c>
      <c r="E47" s="237" t="s">
        <v>191</v>
      </c>
      <c r="F47" s="230" t="s">
        <v>65</v>
      </c>
      <c r="G47" s="229">
        <v>1310</v>
      </c>
      <c r="H47" s="13">
        <v>1975</v>
      </c>
      <c r="I47" s="13">
        <v>1975</v>
      </c>
      <c r="J47" s="227">
        <f t="shared" si="0"/>
        <v>0</v>
      </c>
    </row>
    <row r="48" spans="1:10" ht="17.25" customHeight="1">
      <c r="A48" s="227">
        <v>47</v>
      </c>
      <c r="B48" s="227" t="s">
        <v>117</v>
      </c>
      <c r="C48" s="227" t="s">
        <v>28</v>
      </c>
      <c r="D48" s="227" t="s">
        <v>192</v>
      </c>
      <c r="E48" s="235" t="s">
        <v>193</v>
      </c>
      <c r="F48" s="227" t="s">
        <v>65</v>
      </c>
      <c r="G48" s="231">
        <v>1243</v>
      </c>
      <c r="H48" s="15">
        <v>1243</v>
      </c>
      <c r="I48" s="15">
        <v>1243</v>
      </c>
      <c r="J48" s="227">
        <f t="shared" si="0"/>
        <v>0</v>
      </c>
    </row>
    <row r="49" spans="1:10" ht="17.25" customHeight="1">
      <c r="A49" s="230">
        <v>48</v>
      </c>
      <c r="B49" s="230" t="s">
        <v>117</v>
      </c>
      <c r="C49" s="230" t="s">
        <v>28</v>
      </c>
      <c r="D49" s="230" t="s">
        <v>194</v>
      </c>
      <c r="E49" s="237" t="s">
        <v>195</v>
      </c>
      <c r="F49" s="230" t="s">
        <v>65</v>
      </c>
      <c r="G49" s="230">
        <v>404</v>
      </c>
      <c r="H49" s="12">
        <v>404</v>
      </c>
      <c r="I49" s="12">
        <v>404</v>
      </c>
      <c r="J49" s="227">
        <f t="shared" si="0"/>
        <v>0</v>
      </c>
    </row>
    <row r="50" spans="1:10" ht="17.25" customHeight="1">
      <c r="A50" s="227">
        <v>49</v>
      </c>
      <c r="B50" s="227" t="s">
        <v>117</v>
      </c>
      <c r="C50" s="227" t="s">
        <v>28</v>
      </c>
      <c r="D50" s="227" t="s">
        <v>196</v>
      </c>
      <c r="E50" s="235" t="s">
        <v>197</v>
      </c>
      <c r="F50" s="227" t="s">
        <v>65</v>
      </c>
      <c r="G50" s="227">
        <v>823</v>
      </c>
      <c r="H50" s="15">
        <v>1034</v>
      </c>
      <c r="I50" s="15">
        <v>1034</v>
      </c>
      <c r="J50" s="227">
        <f t="shared" si="0"/>
        <v>0</v>
      </c>
    </row>
    <row r="51" spans="1:10" ht="17.25" customHeight="1">
      <c r="A51" s="230">
        <v>50</v>
      </c>
      <c r="B51" s="230" t="s">
        <v>117</v>
      </c>
      <c r="C51" s="230" t="s">
        <v>28</v>
      </c>
      <c r="D51" s="230" t="s">
        <v>198</v>
      </c>
      <c r="E51" s="237" t="s">
        <v>199</v>
      </c>
      <c r="F51" s="230" t="s">
        <v>65</v>
      </c>
      <c r="G51" s="230">
        <v>12</v>
      </c>
      <c r="H51" s="12">
        <v>12</v>
      </c>
      <c r="I51" s="12">
        <v>12</v>
      </c>
      <c r="J51" s="227">
        <f t="shared" si="0"/>
        <v>0</v>
      </c>
    </row>
    <row r="52" spans="1:10" ht="17.25" customHeight="1">
      <c r="A52" s="227">
        <v>51</v>
      </c>
      <c r="B52" s="227" t="s">
        <v>117</v>
      </c>
      <c r="C52" s="227" t="s">
        <v>28</v>
      </c>
      <c r="D52" s="227" t="s">
        <v>200</v>
      </c>
      <c r="E52" s="235" t="s">
        <v>201</v>
      </c>
      <c r="F52" s="227" t="s">
        <v>65</v>
      </c>
      <c r="G52" s="227">
        <v>230</v>
      </c>
      <c r="H52" s="9" t="s">
        <v>28</v>
      </c>
      <c r="I52" s="10" t="s">
        <v>28</v>
      </c>
      <c r="J52" s="227" t="e">
        <f t="shared" si="0"/>
        <v>#VALUE!</v>
      </c>
    </row>
    <row r="53" spans="1:10" ht="17.25" customHeight="1">
      <c r="A53" s="230">
        <v>52</v>
      </c>
      <c r="B53" s="230" t="s">
        <v>117</v>
      </c>
      <c r="C53" s="230" t="s">
        <v>28</v>
      </c>
      <c r="D53" s="230" t="s">
        <v>87</v>
      </c>
      <c r="E53" s="237" t="s">
        <v>202</v>
      </c>
      <c r="F53" s="230" t="s">
        <v>65</v>
      </c>
      <c r="G53" s="229">
        <v>5870</v>
      </c>
      <c r="H53" s="13">
        <v>6199</v>
      </c>
      <c r="I53" s="232">
        <v>5870</v>
      </c>
      <c r="J53" s="227">
        <f t="shared" si="0"/>
        <v>329</v>
      </c>
    </row>
    <row r="54" spans="1:10" ht="17.25" customHeight="1">
      <c r="A54" s="227">
        <v>53</v>
      </c>
      <c r="B54" s="227" t="s">
        <v>117</v>
      </c>
      <c r="C54" s="227" t="s">
        <v>28</v>
      </c>
      <c r="D54" s="227" t="s">
        <v>63</v>
      </c>
      <c r="E54" s="235" t="s">
        <v>203</v>
      </c>
      <c r="F54" s="227" t="s">
        <v>65</v>
      </c>
      <c r="G54" s="231">
        <v>6907</v>
      </c>
      <c r="H54" s="15">
        <v>7937</v>
      </c>
      <c r="I54" s="233">
        <v>6907</v>
      </c>
      <c r="J54" s="227">
        <f t="shared" si="0"/>
        <v>1030</v>
      </c>
    </row>
    <row r="55" spans="1:10" ht="17.25" customHeight="1">
      <c r="A55" s="230">
        <v>54</v>
      </c>
      <c r="B55" s="230" t="s">
        <v>117</v>
      </c>
      <c r="C55" s="230" t="s">
        <v>28</v>
      </c>
      <c r="D55" s="230" t="s">
        <v>66</v>
      </c>
      <c r="E55" s="237" t="s">
        <v>204</v>
      </c>
      <c r="F55" s="230" t="s">
        <v>65</v>
      </c>
      <c r="G55" s="229">
        <v>2156</v>
      </c>
      <c r="H55" s="13">
        <v>2281</v>
      </c>
      <c r="I55" s="232">
        <v>2156</v>
      </c>
      <c r="J55" s="227">
        <f t="shared" si="0"/>
        <v>125</v>
      </c>
    </row>
    <row r="56" spans="1:10" ht="17.25" customHeight="1">
      <c r="A56" s="227">
        <v>55</v>
      </c>
      <c r="B56" s="227" t="s">
        <v>117</v>
      </c>
      <c r="C56" s="227" t="s">
        <v>28</v>
      </c>
      <c r="D56" s="227" t="s">
        <v>90</v>
      </c>
      <c r="E56" s="235" t="s">
        <v>205</v>
      </c>
      <c r="F56" s="227" t="s">
        <v>206</v>
      </c>
      <c r="G56" s="227">
        <v>1</v>
      </c>
      <c r="H56" s="9" t="s">
        <v>28</v>
      </c>
      <c r="I56" s="10" t="s">
        <v>28</v>
      </c>
      <c r="J56" s="227" t="e">
        <f t="shared" si="0"/>
        <v>#VALUE!</v>
      </c>
    </row>
    <row r="57" spans="1:10" ht="17.25" customHeight="1">
      <c r="A57" s="230">
        <v>56</v>
      </c>
      <c r="B57" s="230" t="s">
        <v>117</v>
      </c>
      <c r="C57" s="230" t="s">
        <v>28</v>
      </c>
      <c r="D57" s="230" t="s">
        <v>207</v>
      </c>
      <c r="E57" s="237" t="s">
        <v>208</v>
      </c>
      <c r="F57" s="230" t="s">
        <v>31</v>
      </c>
      <c r="G57" s="230">
        <v>1</v>
      </c>
      <c r="H57" s="12">
        <v>1</v>
      </c>
      <c r="I57" s="12">
        <v>1</v>
      </c>
      <c r="J57" s="227">
        <f t="shared" si="0"/>
        <v>0</v>
      </c>
    </row>
    <row r="58" spans="1:10" ht="17.25" customHeight="1">
      <c r="A58" s="227">
        <v>57</v>
      </c>
      <c r="B58" s="227" t="s">
        <v>117</v>
      </c>
      <c r="C58" s="227" t="s">
        <v>28</v>
      </c>
      <c r="D58" s="227" t="s">
        <v>209</v>
      </c>
      <c r="E58" s="235" t="s">
        <v>210</v>
      </c>
      <c r="F58" s="227" t="s">
        <v>31</v>
      </c>
      <c r="G58" s="227">
        <v>21</v>
      </c>
      <c r="H58" s="10">
        <v>21</v>
      </c>
      <c r="I58" s="10">
        <v>21</v>
      </c>
      <c r="J58" s="227">
        <f t="shared" si="0"/>
        <v>0</v>
      </c>
    </row>
    <row r="59" spans="1:10" ht="17.25" customHeight="1">
      <c r="A59" s="230">
        <v>58</v>
      </c>
      <c r="B59" s="230" t="s">
        <v>117</v>
      </c>
      <c r="C59" s="230" t="s">
        <v>28</v>
      </c>
      <c r="D59" s="230" t="s">
        <v>211</v>
      </c>
      <c r="E59" s="237" t="s">
        <v>212</v>
      </c>
      <c r="F59" s="230" t="s">
        <v>31</v>
      </c>
      <c r="G59" s="230">
        <v>9</v>
      </c>
      <c r="H59" s="12">
        <v>9</v>
      </c>
      <c r="I59" s="12">
        <v>9</v>
      </c>
      <c r="J59" s="227">
        <f t="shared" si="0"/>
        <v>0</v>
      </c>
    </row>
    <row r="60" spans="1:10" ht="17.25" customHeight="1">
      <c r="A60" s="227">
        <v>59</v>
      </c>
      <c r="B60" s="227" t="s">
        <v>117</v>
      </c>
      <c r="C60" s="227" t="s">
        <v>28</v>
      </c>
      <c r="D60" s="227" t="s">
        <v>213</v>
      </c>
      <c r="E60" s="235" t="s">
        <v>214</v>
      </c>
      <c r="F60" s="227" t="s">
        <v>31</v>
      </c>
      <c r="G60" s="227">
        <v>1</v>
      </c>
      <c r="H60" s="10">
        <v>1</v>
      </c>
      <c r="I60" s="10">
        <v>1</v>
      </c>
      <c r="J60" s="227">
        <f t="shared" si="0"/>
        <v>0</v>
      </c>
    </row>
    <row r="61" spans="1:10" ht="17.25" customHeight="1">
      <c r="A61" s="230">
        <v>60</v>
      </c>
      <c r="B61" s="230" t="s">
        <v>117</v>
      </c>
      <c r="C61" s="230" t="s">
        <v>28</v>
      </c>
      <c r="D61" s="230" t="s">
        <v>215</v>
      </c>
      <c r="E61" s="237" t="s">
        <v>216</v>
      </c>
      <c r="F61" s="230" t="s">
        <v>31</v>
      </c>
      <c r="G61" s="230">
        <v>2</v>
      </c>
      <c r="H61" s="12">
        <v>2</v>
      </c>
      <c r="I61" s="12">
        <v>2</v>
      </c>
      <c r="J61" s="227">
        <f t="shared" si="0"/>
        <v>0</v>
      </c>
    </row>
    <row r="62" spans="1:10" ht="17.25" customHeight="1">
      <c r="A62" s="227">
        <v>61</v>
      </c>
      <c r="B62" s="227" t="s">
        <v>117</v>
      </c>
      <c r="C62" s="227" t="s">
        <v>28</v>
      </c>
      <c r="D62" s="227" t="s">
        <v>217</v>
      </c>
      <c r="E62" s="235" t="s">
        <v>218</v>
      </c>
      <c r="F62" s="227" t="s">
        <v>31</v>
      </c>
      <c r="G62" s="227">
        <v>909</v>
      </c>
      <c r="H62" s="10">
        <v>909</v>
      </c>
      <c r="I62" s="10">
        <v>909</v>
      </c>
      <c r="J62" s="227">
        <f t="shared" si="0"/>
        <v>0</v>
      </c>
    </row>
    <row r="63" spans="1:10" ht="17.25" customHeight="1">
      <c r="A63" s="230">
        <v>62</v>
      </c>
      <c r="B63" s="230" t="s">
        <v>117</v>
      </c>
      <c r="C63" s="230" t="s">
        <v>28</v>
      </c>
      <c r="D63" s="230" t="s">
        <v>219</v>
      </c>
      <c r="E63" s="237" t="s">
        <v>220</v>
      </c>
      <c r="F63" s="230" t="s">
        <v>31</v>
      </c>
      <c r="G63" s="230">
        <v>194</v>
      </c>
      <c r="H63" s="12">
        <v>194</v>
      </c>
      <c r="I63" s="12">
        <v>194</v>
      </c>
      <c r="J63" s="227">
        <f t="shared" si="0"/>
        <v>0</v>
      </c>
    </row>
    <row r="64" spans="1:10" ht="17.25" customHeight="1">
      <c r="A64" s="227">
        <v>63</v>
      </c>
      <c r="B64" s="227" t="s">
        <v>117</v>
      </c>
      <c r="C64" s="227" t="s">
        <v>28</v>
      </c>
      <c r="D64" s="227" t="s">
        <v>221</v>
      </c>
      <c r="E64" s="235" t="s">
        <v>222</v>
      </c>
      <c r="F64" s="227" t="s">
        <v>31</v>
      </c>
      <c r="G64" s="227">
        <v>86</v>
      </c>
      <c r="H64" s="10">
        <v>86</v>
      </c>
      <c r="I64" s="10">
        <v>86</v>
      </c>
      <c r="J64" s="227">
        <f t="shared" si="0"/>
        <v>0</v>
      </c>
    </row>
    <row r="65" spans="1:10" ht="17.25" customHeight="1">
      <c r="A65" s="230">
        <v>64</v>
      </c>
      <c r="B65" s="230" t="s">
        <v>117</v>
      </c>
      <c r="C65" s="230" t="s">
        <v>28</v>
      </c>
      <c r="D65" s="230" t="s">
        <v>223</v>
      </c>
      <c r="E65" s="237" t="s">
        <v>224</v>
      </c>
      <c r="F65" s="230" t="s">
        <v>31</v>
      </c>
      <c r="G65" s="230">
        <v>34</v>
      </c>
      <c r="H65" s="12">
        <v>34</v>
      </c>
      <c r="I65" s="12">
        <v>34</v>
      </c>
      <c r="J65" s="227">
        <f t="shared" si="0"/>
        <v>0</v>
      </c>
    </row>
    <row r="66" spans="1:10" ht="17.25" customHeight="1">
      <c r="A66" s="227">
        <v>65</v>
      </c>
      <c r="B66" s="227" t="s">
        <v>117</v>
      </c>
      <c r="C66" s="227" t="s">
        <v>28</v>
      </c>
      <c r="D66" s="227" t="s">
        <v>225</v>
      </c>
      <c r="E66" s="235" t="s">
        <v>226</v>
      </c>
      <c r="F66" s="227" t="s">
        <v>31</v>
      </c>
      <c r="G66" s="227">
        <v>39</v>
      </c>
      <c r="H66" s="10">
        <v>39</v>
      </c>
      <c r="I66" s="10">
        <v>39</v>
      </c>
      <c r="J66" s="227">
        <f t="shared" si="0"/>
        <v>0</v>
      </c>
    </row>
    <row r="67" spans="1:10" ht="17.25" customHeight="1">
      <c r="A67" s="230">
        <v>66</v>
      </c>
      <c r="B67" s="230" t="s">
        <v>117</v>
      </c>
      <c r="C67" s="230" t="s">
        <v>28</v>
      </c>
      <c r="D67" s="230" t="s">
        <v>227</v>
      </c>
      <c r="E67" s="237" t="s">
        <v>228</v>
      </c>
      <c r="F67" s="230" t="s">
        <v>31</v>
      </c>
      <c r="G67" s="230">
        <v>125</v>
      </c>
      <c r="H67" s="14" t="s">
        <v>28</v>
      </c>
      <c r="I67" s="12" t="s">
        <v>28</v>
      </c>
      <c r="J67" s="227" t="e">
        <f t="shared" ref="J67:J69" si="1">H67-I67</f>
        <v>#VALUE!</v>
      </c>
    </row>
    <row r="68" spans="1:10" ht="17.25" customHeight="1">
      <c r="A68" s="227">
        <v>67</v>
      </c>
      <c r="B68" s="227" t="s">
        <v>117</v>
      </c>
      <c r="C68" s="227" t="s">
        <v>28</v>
      </c>
      <c r="D68" s="227" t="s">
        <v>229</v>
      </c>
      <c r="E68" s="235" t="s">
        <v>230</v>
      </c>
      <c r="F68" s="227" t="s">
        <v>31</v>
      </c>
      <c r="G68" s="227">
        <v>40</v>
      </c>
      <c r="H68" s="10">
        <v>40</v>
      </c>
      <c r="I68" s="10">
        <v>40</v>
      </c>
      <c r="J68" s="227">
        <f t="shared" si="1"/>
        <v>0</v>
      </c>
    </row>
    <row r="69" spans="1:10" ht="17.25" customHeight="1">
      <c r="A69" s="230">
        <v>68</v>
      </c>
      <c r="B69" s="230" t="s">
        <v>117</v>
      </c>
      <c r="C69" s="230" t="s">
        <v>28</v>
      </c>
      <c r="D69" s="230" t="s">
        <v>291</v>
      </c>
      <c r="E69" s="237" t="s">
        <v>310</v>
      </c>
      <c r="F69" s="230" t="s">
        <v>31</v>
      </c>
      <c r="G69" s="230">
        <v>1</v>
      </c>
      <c r="H69" s="12">
        <v>125</v>
      </c>
      <c r="I69" s="12">
        <v>125</v>
      </c>
      <c r="J69" s="227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کنترل قرارداد (1)</vt:lpstr>
      <vt:lpstr>کنترل قرارداد (2)</vt:lpstr>
      <vt:lpstr>کنترل قرارداد (3&amp;4)</vt:lpstr>
      <vt:lpstr>کنترل قرارداد (5)</vt:lpstr>
      <vt:lpstr>کنترل قرارداد (6)</vt:lpstr>
      <vt:lpstr>کنترل قرارداد (7)</vt:lpstr>
      <vt:lpstr>Packing List Items</vt:lpstr>
      <vt:lpstr>ریز آیتم ها</vt:lpstr>
      <vt:lpstr>Sheet1</vt:lpstr>
      <vt:lpstr>'Packing List Items'!Print_Area</vt:lpstr>
      <vt:lpstr>'کنترل قرارداد (1)'!Print_Area</vt:lpstr>
      <vt:lpstr>'کنترل قرارداد (2)'!Print_Area</vt:lpstr>
      <vt:lpstr>'کنترل قرارداد (3&amp;4)'!Print_Area</vt:lpstr>
      <vt:lpstr>'کنترل قرارداد (5)'!Print_Area</vt:lpstr>
      <vt:lpstr>'کنترل قرارداد (6)'!Print_Area</vt:lpstr>
      <vt:lpstr>'کنترل قرارداد (7)'!Print_Area</vt:lpstr>
      <vt:lpstr>'کنترل قرارداد (1)'!Print_Titles</vt:lpstr>
      <vt:lpstr>'کنترل قرارداد (2)'!Print_Titles</vt:lpstr>
      <vt:lpstr>'کنترل قرارداد (3&amp;4)'!Print_Titles</vt:lpstr>
      <vt:lpstr>'کنترل قرارداد (5)'!Print_Titles</vt:lpstr>
      <vt:lpstr>'کنترل قرارداد (6)'!Print_Titles</vt:lpstr>
      <vt:lpstr>'کنترل قرارداد (7)'!Print_Titles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cp:lastPrinted>2023-09-26T17:50:11Z</cp:lastPrinted>
  <dcterms:created xsi:type="dcterms:W3CDTF">2022-09-18T14:57:28Z</dcterms:created>
  <dcterms:modified xsi:type="dcterms:W3CDTF">2023-09-26T17:50:15Z</dcterms:modified>
  <cp:category/>
</cp:coreProperties>
</file>