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p\Finance\Adish Refinery\Adish Group\OLD Personal\Hosseini\تامین کنندگان و پیمانکاران\جهان عایق\"/>
    </mc:Choice>
  </mc:AlternateContent>
  <xr:revisionPtr revIDLastSave="0" documentId="13_ncr:1_{B99E667A-CB58-41E0-B842-0764EB1C2709}" xr6:coauthVersionLast="47" xr6:coauthVersionMax="47" xr10:uidLastSave="{00000000-0000-0000-0000-000000000000}"/>
  <bookViews>
    <workbookView xWindow="-120" yWindow="-120" windowWidth="29040" windowHeight="15840" activeTab="5" xr2:uid="{A11E7557-6E0A-4706-9789-0252ED276857}"/>
  </bookViews>
  <sheets>
    <sheet name="ف 342" sheetId="2" r:id="rId1"/>
    <sheet name="ف 423" sheetId="4" r:id="rId2"/>
    <sheet name="پ ف 3" sheetId="5" r:id="rId3"/>
    <sheet name="پ ف 4" sheetId="6" r:id="rId4"/>
    <sheet name="پ ف 5" sheetId="7" r:id="rId5"/>
    <sheet name="پ ف 6" sheetId="8" r:id="rId6"/>
    <sheet name="ف 342 (امیرعباس)" sheetId="3" r:id="rId7"/>
  </sheets>
  <definedNames>
    <definedName name="_xlnm.Print_Area" localSheetId="2">'پ ف 3'!$A$1:$M$32</definedName>
    <definedName name="_xlnm.Print_Area" localSheetId="3">'پ ف 4'!$A$1:$M$33</definedName>
    <definedName name="_xlnm.Print_Area" localSheetId="4">'پ ف 5'!$A$1:$M$34</definedName>
    <definedName name="_xlnm.Print_Area" localSheetId="5">'پ ف 6'!$A$1:$M$34</definedName>
    <definedName name="_xlnm.Print_Area" localSheetId="0">'ف 342'!$A$1:$M$26</definedName>
    <definedName name="_xlnm.Print_Area" localSheetId="6">'ف 342 (امیرعباس)'!$A$1:$M$25</definedName>
    <definedName name="_xlnm.Print_Area" localSheetId="1">'ف 423'!$A$1:$M$29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8" l="1"/>
  <c r="H7" i="8" s="1"/>
  <c r="L29" i="8"/>
  <c r="L28" i="8"/>
  <c r="L27" i="8"/>
  <c r="L26" i="8"/>
  <c r="L25" i="8"/>
  <c r="L24" i="8"/>
  <c r="L14" i="8"/>
  <c r="P12" i="8"/>
  <c r="J12" i="8"/>
  <c r="L12" i="8" s="1"/>
  <c r="P11" i="8"/>
  <c r="J11" i="8"/>
  <c r="H11" i="8"/>
  <c r="L11" i="8" l="1"/>
  <c r="H8" i="8" l="1"/>
  <c r="H16" i="8" s="1"/>
  <c r="L16" i="8" l="1"/>
  <c r="L8" i="8" s="1"/>
  <c r="L6" i="8" s="1"/>
  <c r="L7" i="8" s="1"/>
  <c r="H6" i="7" l="1"/>
  <c r="L29" i="7"/>
  <c r="L28" i="7"/>
  <c r="L27" i="7"/>
  <c r="L26" i="7"/>
  <c r="L25" i="7"/>
  <c r="L24" i="7"/>
  <c r="L14" i="7"/>
  <c r="P12" i="7"/>
  <c r="J12" i="7"/>
  <c r="L12" i="7" s="1"/>
  <c r="P11" i="7"/>
  <c r="J11" i="7"/>
  <c r="H11" i="7"/>
  <c r="P12" i="6"/>
  <c r="P11" i="6"/>
  <c r="H12" i="6"/>
  <c r="H11" i="6"/>
  <c r="L28" i="6"/>
  <c r="L27" i="6"/>
  <c r="H12" i="5"/>
  <c r="H11" i="5"/>
  <c r="L28" i="5"/>
  <c r="H30" i="6"/>
  <c r="H6" i="6"/>
  <c r="L29" i="6"/>
  <c r="L26" i="6"/>
  <c r="L25" i="6"/>
  <c r="L24" i="6"/>
  <c r="J12" i="6"/>
  <c r="J11" i="6"/>
  <c r="H6" i="5"/>
  <c r="H11" i="4"/>
  <c r="L26" i="5"/>
  <c r="L25" i="5"/>
  <c r="L24" i="5"/>
  <c r="J12" i="5"/>
  <c r="J11" i="5"/>
  <c r="H26" i="4"/>
  <c r="J12" i="4"/>
  <c r="H13" i="4"/>
  <c r="L25" i="4"/>
  <c r="H7" i="4"/>
  <c r="H8" i="4" s="1"/>
  <c r="L24" i="4"/>
  <c r="L23" i="4"/>
  <c r="J11" i="4"/>
  <c r="H7" i="5" l="1"/>
  <c r="P6" i="8"/>
  <c r="H30" i="7"/>
  <c r="L30" i="7" s="1"/>
  <c r="L31" i="7" s="1"/>
  <c r="H30" i="8"/>
  <c r="P6" i="6"/>
  <c r="R6" i="6" s="1"/>
  <c r="L11" i="7"/>
  <c r="H31" i="7"/>
  <c r="H7" i="7"/>
  <c r="P6" i="7"/>
  <c r="L12" i="6"/>
  <c r="L11" i="6"/>
  <c r="H14" i="5"/>
  <c r="L30" i="6"/>
  <c r="H7" i="6"/>
  <c r="L14" i="6"/>
  <c r="H8" i="5"/>
  <c r="L26" i="4"/>
  <c r="H12" i="4"/>
  <c r="L12" i="4" s="1"/>
  <c r="L11" i="4"/>
  <c r="H15" i="4"/>
  <c r="L15" i="4" s="1"/>
  <c r="Q11" i="8" l="1"/>
  <c r="H31" i="8"/>
  <c r="L30" i="8"/>
  <c r="L31" i="8" s="1"/>
  <c r="R6" i="8"/>
  <c r="H16" i="5"/>
  <c r="H8" i="6"/>
  <c r="H16" i="6" s="1"/>
  <c r="L16" i="6" s="1"/>
  <c r="L8" i="6" s="1"/>
  <c r="L6" i="6" s="1"/>
  <c r="L7" i="6" s="1"/>
  <c r="Q11" i="6"/>
  <c r="Q11" i="7"/>
  <c r="R6" i="7"/>
  <c r="H8" i="7"/>
  <c r="H16" i="7" s="1"/>
  <c r="L14" i="5"/>
  <c r="L12" i="5"/>
  <c r="L13" i="4"/>
  <c r="L8" i="4" s="1"/>
  <c r="L6" i="4" s="1"/>
  <c r="L7" i="4" s="1"/>
  <c r="L16" i="5" l="1"/>
  <c r="L8" i="5" s="1"/>
  <c r="L6" i="5" s="1"/>
  <c r="L7" i="5" s="1"/>
  <c r="L16" i="7"/>
  <c r="L8" i="7" s="1"/>
  <c r="L6" i="7" s="1"/>
  <c r="L7" i="7" s="1"/>
  <c r="H7" i="2"/>
  <c r="P7" i="8" s="1"/>
  <c r="P8" i="8" s="1"/>
  <c r="P16" i="8" s="1"/>
  <c r="J11" i="2"/>
  <c r="H7" i="3"/>
  <c r="L7" i="3" s="1"/>
  <c r="H6" i="3"/>
  <c r="L6" i="3" s="1"/>
  <c r="L22" i="3"/>
  <c r="H24" i="2"/>
  <c r="L23" i="2"/>
  <c r="L22" i="2"/>
  <c r="P7" i="6" l="1"/>
  <c r="P8" i="6" s="1"/>
  <c r="P16" i="6" s="1"/>
  <c r="P7" i="7"/>
  <c r="P8" i="7" s="1"/>
  <c r="P16" i="7" s="1"/>
  <c r="H11" i="3"/>
  <c r="H21" i="3" s="1"/>
  <c r="H23" i="3" s="1"/>
  <c r="L8" i="3"/>
  <c r="H8" i="3"/>
  <c r="H11" i="2"/>
  <c r="Q11" i="5" s="1"/>
  <c r="L24" i="2"/>
  <c r="L21" i="3" l="1"/>
  <c r="L11" i="3"/>
  <c r="H12" i="3"/>
  <c r="G14" i="3" s="1"/>
  <c r="L11" i="2"/>
  <c r="H14" i="3" l="1"/>
  <c r="L14" i="3" s="1"/>
  <c r="L12" i="3"/>
  <c r="L23" i="3"/>
  <c r="H12" i="2"/>
  <c r="H8" i="2"/>
  <c r="H14" i="2" l="1"/>
  <c r="P17" i="8" s="1"/>
  <c r="L12" i="2"/>
  <c r="L14" i="2" l="1"/>
  <c r="L8" i="2" s="1"/>
  <c r="P8" i="3" s="1"/>
  <c r="P17" i="6"/>
  <c r="P17" i="7"/>
  <c r="L6" i="2" l="1"/>
  <c r="L7" i="2" s="1"/>
  <c r="L27" i="5"/>
  <c r="L29" i="5" s="1"/>
  <c r="L11" i="5"/>
  <c r="H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Imaghian AmirAbbas</author>
  </authors>
  <commentList>
    <comment ref="H7" authorId="0" shapeId="0" xr:uid="{11C4E393-B34B-4477-99C1-17DCCFB0DEC1}">
      <text>
        <r>
          <rPr>
            <b/>
            <sz val="9"/>
            <color indexed="81"/>
            <rFont val="Tahoma"/>
            <family val="2"/>
          </rPr>
          <t>Imaghian AmirAbbas:</t>
        </r>
        <r>
          <rPr>
            <sz val="9"/>
            <color indexed="81"/>
            <rFont val="Tahoma"/>
            <family val="2"/>
          </rPr>
          <t xml:space="preserve">
رندینگ بابت 9% تفریبا 0.04 اختلاف دارد
</t>
        </r>
      </text>
    </comment>
    <comment ref="G14" authorId="0" shapeId="0" xr:uid="{6069E8E2-F83B-4FEB-BB79-681321E48F8D}">
      <text>
        <r>
          <rPr>
            <b/>
            <sz val="9"/>
            <color indexed="81"/>
            <rFont val="Tahoma"/>
            <family val="2"/>
          </rPr>
          <t>Imaghian AmirAbbas:</t>
        </r>
        <r>
          <rPr>
            <sz val="9"/>
            <color indexed="81"/>
            <rFont val="Tahoma"/>
            <family val="2"/>
          </rPr>
          <t xml:space="preserve">
مبلغ قابل پرداخت و مبلغ رند به ارزش 252.858 ریال پرداخت شده با فی 292.908 ریال
</t>
        </r>
      </text>
    </comment>
  </commentList>
</comments>
</file>

<file path=xl/sharedStrings.xml><?xml version="1.0" encoding="utf-8"?>
<sst xmlns="http://schemas.openxmlformats.org/spreadsheetml/2006/main" count="222" uniqueCount="57">
  <si>
    <t>معادل ریالی</t>
  </si>
  <si>
    <t>یورو</t>
  </si>
  <si>
    <t>مالیات و عوارض بر ارزش افزوده</t>
  </si>
  <si>
    <t>جمع کالای دریافتی</t>
  </si>
  <si>
    <t>نرخ تسعیر
(ریال)</t>
  </si>
  <si>
    <t>خریدار: شرکت پالایشگاه میعانات گازی آدیش جنوبی</t>
  </si>
  <si>
    <t>کسور:</t>
  </si>
  <si>
    <t>*</t>
  </si>
  <si>
    <t>جمع صورتحساب</t>
  </si>
  <si>
    <t>پیش پرداخت (30%)</t>
  </si>
  <si>
    <t>1401/05/09</t>
  </si>
  <si>
    <t>1401/06/01</t>
  </si>
  <si>
    <t>مبلغ ارزی</t>
  </si>
  <si>
    <t>نرخ تسعیر</t>
  </si>
  <si>
    <t>تاریخ تهیه گزارش: 1401/07/26</t>
  </si>
  <si>
    <t>تاریخ</t>
  </si>
  <si>
    <t>پیش پرداخت مرحله اول</t>
  </si>
  <si>
    <t>پیش پرداخت مرحله دوم</t>
  </si>
  <si>
    <t>خالص قابل پرداختی</t>
  </si>
  <si>
    <t>خلاصه مالی خرید عایق گرم و سرد</t>
  </si>
  <si>
    <t>فروشنده: شرکت جهان عایق پارس</t>
  </si>
  <si>
    <t>شماره قرارداد: ADSH-P-P0-GE-098</t>
  </si>
  <si>
    <t>تاریخ پیش فاکتور: 1401/06/14</t>
  </si>
  <si>
    <t>توضیحات در خصوص نرخ های تسعیر:</t>
  </si>
  <si>
    <t>1- محاسبه مبلغ خالص پرداختی با نرخ تسعیر فروش اسکناس در سامانه سنا در تاریخ پیش فاکتورهای دریافتی (1401/06/14) انجام شده است.</t>
  </si>
  <si>
    <t>2- محاسبه نرخ تسعیر جهت پیش پرداخت به شرح ذیل صورت گرفته است:</t>
  </si>
  <si>
    <t>مانده پیش پرداخت</t>
  </si>
  <si>
    <t>پیش پرداخت مرحله اول به ارزش 124.429/80یورو</t>
  </si>
  <si>
    <t>پیش پرداخت مرحله دوم به ارزش 34.391/10یورو</t>
  </si>
  <si>
    <t>2- در محاسبه نرخ تسعیر جهت استهلاک پیش پرداخت، تماما از نرخ تسعیر پیش پرداخت مرحله اول استفاده شده است. پیش پرداختها به شرح ذیل پرداخت شده است:</t>
  </si>
  <si>
    <t>2- در محاسبه نرخ تسعیر جهت استهلاک پیش پرداخت طی تسویه محموله اول، تماما از نرخ تسعیر پیش پرداخت مرحله اول استفاده شده بود؛ لذا در تسویه این محموله تا سقف  پیش پرداخت مرحله اول از نرخ پیش پرداخت مرحله اول و مابقی از نرخ پیش پرداخت مرحله دوم  استفاده می شود. مانده پیش پرداختها به شرح ذیل می باشد:</t>
  </si>
  <si>
    <t>استهلاک پیش پرداخت طی تسویه محموله اول (با نرخ پیش پرداخت اول)</t>
  </si>
  <si>
    <t>پیش پرداخت با نرخ مرحله اول</t>
  </si>
  <si>
    <t>پیش پرداخت با نرخ مرحله دوم</t>
  </si>
  <si>
    <t>1- محاسبه مبلغ خالص پرداختی با نرخ تسعیر فروش اسکناس در سامانه سنا در تاریخ پیش فاکتورهای دریافتی (1401/08/09) انجام شده است.</t>
  </si>
  <si>
    <t>تاریخ تهیه گزارش: 1401/08/30</t>
  </si>
  <si>
    <t>استهلاک پیش پرداخت طی تسویه محموله دوم (با نرخ ترکیبی پیش پرداخت اول و دوم)</t>
  </si>
  <si>
    <t>استهلاک پیش پرداخت طی تسویه محموله سوم (با نرخ پیش پرداخت دوم)</t>
  </si>
  <si>
    <t>پیش پرداخت باقیمانده پس از تسویه محموله دوم</t>
  </si>
  <si>
    <t>پیش پرداخت باقیمانده پس از تسویه محموله اول و دوم</t>
  </si>
  <si>
    <t>پیش پرداخت باقیمانده پس از تسویه محموله اول و دوم و سوم</t>
  </si>
  <si>
    <t>1- محاسبه مبلغ خالص پرداختی با نرخ تسعیر فروش اسکناس در سامانه سنا در تاریخ پیش فاکتورهای دریافتی (1401/11/08) انجام شده است.</t>
  </si>
  <si>
    <t>1- محاسبه مبلغ خالص پرداختی با نرخ تسعیر فروش اسکناس در سامانه سنا در تاریخ پیش فاکتورهای دریافتی (1401/09/08) انجام شده است.</t>
  </si>
  <si>
    <t>2- در محاسبه نرخ تسعیر جهت استهلاک پیش پرداخت طی تسویه محموله اول و دوم پیش پرداخت مرحله اول صفر و بخشی از پیش پرداخت مرحله دوم مستهلک گردید،  تسویه این محموله  از نرخ پیش پرداخت مرحله دوم  استفاده می شود. مانده پیش پرداختها به شرح ذیل می باشد:</t>
  </si>
  <si>
    <t>2- در محاسبه نرخ تسعیر جهت استهلاک پیش پرداخت طی تسویه محموله اول و دوم و سوم پیش پرداخت مرحله اول صفر و بخشی از پیش پرداخت مرحله دوم مستهلک گردید،  تسویه این محموله  از نرخ پیش پرداخت مرحله دوم  استفاده می شود. گزارش پیش پرداختها به شرح ذیل می باشد:</t>
  </si>
  <si>
    <t>تاریخ پیش فاکتور: 1401/09/08</t>
  </si>
  <si>
    <t>تاریخ تهیه گزارش: 1401/12/03</t>
  </si>
  <si>
    <t>تاریخ پیش فاکتور: 1401/11/08</t>
  </si>
  <si>
    <t>توضیح اینکه از 62.798/92 یورو پیش پرداخت باقیمانده، مبلغ 28.407/82 یورو مربوط به مرحله اول و مابقی  34.391/10 یورو مربوط به مرحله دوم می باشد که مبلغ 43.140/59 از آن با دونرخ مذکور  در پرداخت دوم مستهلک گردید.</t>
  </si>
  <si>
    <t>توضیح اینکه الباقی پیش پرداخت 9.278/17 یورو از تتمه پیش پرداخت مرحله دوم می باشد که درنهایت پیش پرداخت باقیمانده در پرداخت مرحله چهارم صفر گردید.</t>
  </si>
  <si>
    <t>توضیح اینکه  مانده پیش پرداخت  19.658/33 یورو پیش پرداخت باقیمانده مربوط به مرحله دوم می باشد که مبلغ 10.380/16 یورو آن در پرداخت مرحله سوم مستهلک گردید.</t>
  </si>
  <si>
    <t>تاریخ تهیه گزارش: 1402/02/19</t>
  </si>
  <si>
    <t>استهلاک پیش پرداخت طی تسویه محموله سوم (با نرخ پیش پرداخت چهارم)</t>
  </si>
  <si>
    <t>پیش پرداخت باقیمانده پس از تسویه محموله اول و دوم و سوم و چهارم</t>
  </si>
  <si>
    <t>1- محاسبه مبلغ خالص پرداختی با نرخ تسعیر فروش اسکناس در سامانه سنا در تاریخ پیش فاکتورهای دریافتی (1402/01/21) انجام شده است.</t>
  </si>
  <si>
    <t>2- در محاسبه نرخ تسعیر جهت استهلاک پیش پرداخت طی تسویه محموله اول و دوم و سوم پیش پرداخت مرحله اول صفر و بخشی از پیش پرداخت مرحله دوم مستهلک گردید،  تسویه  محموله  چهارم از نرخ پیش پرداخت مرحله دوم  استفاده شد و مانده صفر گردید. گزارش پیش پرداختها به شرح ذیل می باشد:</t>
  </si>
  <si>
    <t>1- محاسبه مبلغ خالص پرداختی با نرخ تسعیر فروش اسکناس در سامانه سنا در تاریخ پیش فاکتورهای دریافتی (1402/02/17) انجام شده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</si>
</sst>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_ ;_ * \(#,##0\)_ ;_ * &quot;-&quot;_)_ ;_ @_ "/>
    <numFmt numFmtId="164" formatCode="_(* #,##0.00_);_(* \(#,##0.00\);_(* &quot;-&quot;??_);_(@_)"/>
    <numFmt numFmtId="165" formatCode="_(* #,##0_);_(* \(#,##0\);_(* &quot;-&quot;??_);_(@_)"/>
    <numFmt numFmtId="166" formatCode="_ * #,##0.00_)_ر_ي_ا_ل_ ;_ * \(#,##0.00\)_ر_ي_ا_ل_ ;_ * &quot;-&quot;??_)_ر_ي_ا_ل_ ;_ @_ "/>
    <numFmt numFmtId="167" formatCode="_(* #,##0.0_);_(* \(#,##0.0\);_(* &quot;-&quot;??_);_(@_)"/>
    <numFmt numFmtId="168" formatCode="_(* #,##0.0000000_);_(* \(#,##0.0000000\);_(* &quot;-&quot;??_);_(@_)"/>
  </numFmts>
  <fonts count="13" x14ac:knownFonts="1">
    <font>
      <sz val="11"/>
      <color theme="1"/>
      <name val="Calibri"/>
      <family val="2"/>
      <scheme val="minor"/>
    </font>
    <font>
      <sz val="11"/>
      <color theme="1"/>
      <name val="Calibri"/>
      <family val="2"/>
      <scheme val="minor"/>
    </font>
    <font>
      <sz val="11"/>
      <color theme="1"/>
      <name val="B Lotus"/>
      <charset val="178"/>
    </font>
    <font>
      <b/>
      <sz val="14"/>
      <color theme="1"/>
      <name val="B Lotus"/>
      <charset val="178"/>
    </font>
    <font>
      <sz val="13"/>
      <color theme="1"/>
      <name val="B Lotus"/>
      <charset val="178"/>
    </font>
    <font>
      <b/>
      <sz val="13"/>
      <color theme="1"/>
      <name val="B Lotus"/>
      <charset val="178"/>
    </font>
    <font>
      <sz val="13"/>
      <color theme="1"/>
      <name val="Calibri"/>
      <family val="2"/>
    </font>
    <font>
      <sz val="12"/>
      <color theme="1"/>
      <name val="Calibri"/>
      <family val="2"/>
    </font>
    <font>
      <sz val="12"/>
      <color theme="1"/>
      <name val="B Lotus"/>
      <charset val="178"/>
    </font>
    <font>
      <b/>
      <sz val="12"/>
      <color theme="1"/>
      <name val="B Lotus"/>
      <charset val="178"/>
    </font>
    <font>
      <sz val="9"/>
      <color indexed="81"/>
      <name val="Tahoma"/>
      <family val="2"/>
    </font>
    <font>
      <b/>
      <sz val="9"/>
      <color indexed="81"/>
      <name val="Tahoma"/>
      <family val="2"/>
    </font>
    <font>
      <b/>
      <sz val="13"/>
      <color theme="0"/>
      <name val="B Lotus"/>
      <charset val="17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41" fontId="1" fillId="0" borderId="0" applyFont="0" applyFill="0" applyBorder="0" applyAlignment="0" applyProtection="0"/>
  </cellStyleXfs>
  <cellXfs count="141">
    <xf numFmtId="0" fontId="0" fillId="0" borderId="0" xfId="0"/>
    <xf numFmtId="0" fontId="2" fillId="0" borderId="0" xfId="0" applyFont="1"/>
    <xf numFmtId="0" fontId="2" fillId="0" borderId="1" xfId="0" applyFont="1" applyBorder="1"/>
    <xf numFmtId="0" fontId="4" fillId="0" borderId="0" xfId="0" applyFont="1" applyAlignment="1">
      <alignment horizontal="center" vertical="center"/>
    </xf>
    <xf numFmtId="0" fontId="4" fillId="0" borderId="0" xfId="0" applyFont="1"/>
    <xf numFmtId="0" fontId="5" fillId="0" borderId="0" xfId="0" applyFont="1"/>
    <xf numFmtId="165" fontId="5" fillId="0" borderId="0" xfId="1" applyNumberFormat="1" applyFont="1"/>
    <xf numFmtId="165" fontId="5" fillId="0" borderId="0" xfId="0" applyNumberFormat="1" applyFont="1"/>
    <xf numFmtId="0" fontId="3" fillId="0" borderId="0" xfId="0" applyFont="1" applyAlignment="1">
      <alignment vertical="center"/>
    </xf>
    <xf numFmtId="164" fontId="2" fillId="0" borderId="0" xfId="1" applyFont="1" applyFill="1"/>
    <xf numFmtId="165" fontId="2" fillId="0" borderId="0" xfId="1" applyNumberFormat="1" applyFont="1" applyFill="1"/>
    <xf numFmtId="0" fontId="3" fillId="0" borderId="0" xfId="0" applyFont="1" applyAlignment="1">
      <alignment horizontal="left" vertical="center"/>
    </xf>
    <xf numFmtId="0" fontId="3" fillId="0" borderId="1" xfId="0" applyFont="1" applyBorder="1" applyAlignment="1">
      <alignment vertical="center"/>
    </xf>
    <xf numFmtId="164" fontId="2" fillId="0" borderId="1" xfId="1" applyFont="1" applyFill="1" applyBorder="1"/>
    <xf numFmtId="165" fontId="2" fillId="0" borderId="1" xfId="1" applyNumberFormat="1" applyFont="1" applyFill="1" applyBorder="1"/>
    <xf numFmtId="0" fontId="3" fillId="0" borderId="1" xfId="0" applyFont="1" applyBorder="1" applyAlignment="1">
      <alignment horizontal="left" vertical="center"/>
    </xf>
    <xf numFmtId="164" fontId="4" fillId="0" borderId="0" xfId="1" applyFont="1" applyFill="1" applyAlignment="1">
      <alignment horizontal="center" vertical="center"/>
    </xf>
    <xf numFmtId="164" fontId="4" fillId="0" borderId="1" xfId="1" applyFont="1" applyFill="1" applyBorder="1" applyAlignment="1">
      <alignment horizontal="center" vertical="center"/>
    </xf>
    <xf numFmtId="165" fontId="4" fillId="0" borderId="1" xfId="1" applyNumberFormat="1" applyFont="1" applyFill="1" applyBorder="1" applyAlignment="1">
      <alignment horizontal="center" vertical="center" wrapText="1"/>
    </xf>
    <xf numFmtId="165" fontId="4" fillId="0" borderId="0" xfId="1" applyNumberFormat="1" applyFont="1" applyFill="1" applyAlignment="1">
      <alignment horizontal="center" vertical="center"/>
    </xf>
    <xf numFmtId="165" fontId="4" fillId="0" borderId="1" xfId="1" applyNumberFormat="1" applyFont="1" applyFill="1" applyBorder="1" applyAlignment="1">
      <alignment horizontal="center" vertical="center"/>
    </xf>
    <xf numFmtId="164" fontId="4" fillId="0" borderId="0" xfId="1" applyFont="1" applyFill="1"/>
    <xf numFmtId="165" fontId="4" fillId="0" borderId="0" xfId="1" applyNumberFormat="1" applyFont="1" applyFill="1"/>
    <xf numFmtId="164" fontId="5" fillId="0" borderId="0" xfId="1" applyFont="1" applyFill="1"/>
    <xf numFmtId="0" fontId="6" fillId="0" borderId="0" xfId="0" applyFont="1" applyAlignment="1">
      <alignment horizontal="right" readingOrder="1"/>
    </xf>
    <xf numFmtId="0" fontId="4" fillId="0" borderId="0" xfId="0" applyFont="1" applyAlignment="1">
      <alignment horizontal="center"/>
    </xf>
    <xf numFmtId="164" fontId="2" fillId="0" borderId="0" xfId="1" applyFont="1"/>
    <xf numFmtId="164" fontId="4" fillId="0" borderId="0" xfId="1" applyFont="1"/>
    <xf numFmtId="164" fontId="5" fillId="0" borderId="0" xfId="1" applyFont="1"/>
    <xf numFmtId="164" fontId="5" fillId="0" borderId="0" xfId="0" applyNumberFormat="1" applyFont="1"/>
    <xf numFmtId="164" fontId="4" fillId="0" borderId="0" xfId="1" applyFont="1" applyAlignment="1">
      <alignment horizontal="center" vertical="center"/>
    </xf>
    <xf numFmtId="164" fontId="4" fillId="0" borderId="0" xfId="0" applyNumberFormat="1" applyFont="1"/>
    <xf numFmtId="0" fontId="6" fillId="0" borderId="0" xfId="0" applyFont="1" applyAlignment="1">
      <alignment horizontal="right" vertical="top"/>
    </xf>
    <xf numFmtId="164" fontId="5" fillId="0" borderId="0" xfId="1" applyFont="1" applyFill="1" applyBorder="1"/>
    <xf numFmtId="165" fontId="5" fillId="0" borderId="0" xfId="1" applyNumberFormat="1" applyFont="1" applyFill="1" applyBorder="1"/>
    <xf numFmtId="0" fontId="7" fillId="0" borderId="0" xfId="0" applyFont="1" applyAlignment="1">
      <alignment horizontal="left" vertical="center"/>
    </xf>
    <xf numFmtId="0" fontId="8" fillId="0" borderId="0" xfId="0" applyFont="1" applyAlignment="1">
      <alignment vertical="top" wrapText="1"/>
    </xf>
    <xf numFmtId="0" fontId="8" fillId="0" borderId="0" xfId="0" applyFont="1"/>
    <xf numFmtId="164" fontId="8" fillId="0" borderId="0" xfId="1" applyFont="1"/>
    <xf numFmtId="0" fontId="8" fillId="0" borderId="0" xfId="0" applyFont="1" applyAlignment="1">
      <alignment horizontal="center"/>
    </xf>
    <xf numFmtId="164" fontId="8" fillId="0" borderId="0" xfId="1" applyFont="1" applyAlignment="1">
      <alignment horizontal="center"/>
    </xf>
    <xf numFmtId="0" fontId="8" fillId="0" borderId="0" xfId="0" applyFont="1" applyAlignment="1">
      <alignment horizontal="center" vertical="center"/>
    </xf>
    <xf numFmtId="164" fontId="8" fillId="0" borderId="0" xfId="1" applyFont="1" applyAlignment="1">
      <alignment horizontal="center" vertical="center"/>
    </xf>
    <xf numFmtId="165" fontId="8" fillId="0" borderId="0" xfId="1" applyNumberFormat="1" applyFont="1" applyAlignment="1">
      <alignment horizontal="center" vertical="center"/>
    </xf>
    <xf numFmtId="164" fontId="8" fillId="0" borderId="1" xfId="1" applyFont="1" applyBorder="1" applyAlignment="1">
      <alignment horizontal="center" vertical="center"/>
    </xf>
    <xf numFmtId="165" fontId="8" fillId="0" borderId="1" xfId="1" applyNumberFormat="1" applyFont="1" applyBorder="1" applyAlignment="1">
      <alignment horizontal="center" vertical="center"/>
    </xf>
    <xf numFmtId="164" fontId="8" fillId="0" borderId="3" xfId="1" applyFont="1" applyBorder="1" applyAlignment="1">
      <alignment horizontal="center" vertical="center"/>
    </xf>
    <xf numFmtId="165" fontId="8" fillId="0" borderId="3" xfId="0" applyNumberFormat="1" applyFont="1" applyBorder="1" applyAlignment="1">
      <alignment horizontal="center" vertical="center"/>
    </xf>
    <xf numFmtId="0" fontId="9" fillId="0" borderId="0" xfId="0" applyFont="1"/>
    <xf numFmtId="164" fontId="9" fillId="0" borderId="0" xfId="1" applyFont="1" applyFill="1"/>
    <xf numFmtId="165" fontId="9" fillId="0" borderId="0" xfId="1" applyNumberFormat="1" applyFont="1" applyFill="1"/>
    <xf numFmtId="164" fontId="9" fillId="0" borderId="0" xfId="1" applyFont="1"/>
    <xf numFmtId="49" fontId="8" fillId="0" borderId="0" xfId="0" applyNumberFormat="1" applyFont="1" applyAlignment="1">
      <alignment horizontal="right" vertical="top" readingOrder="2"/>
    </xf>
    <xf numFmtId="0" fontId="6" fillId="0" borderId="0" xfId="0" applyFont="1" applyAlignment="1">
      <alignment horizontal="center" vertical="center"/>
    </xf>
    <xf numFmtId="164" fontId="8" fillId="0" borderId="0" xfId="1" applyFont="1" applyFill="1" applyAlignment="1">
      <alignment horizontal="center" vertical="center"/>
    </xf>
    <xf numFmtId="164" fontId="12" fillId="0" borderId="0" xfId="1" applyFont="1" applyFill="1"/>
    <xf numFmtId="164" fontId="2" fillId="0" borderId="0" xfId="1" applyFont="1" applyFill="1" applyAlignment="1">
      <alignment horizontal="center" vertical="center"/>
    </xf>
    <xf numFmtId="0" fontId="2" fillId="0" borderId="0" xfId="0" applyFont="1" applyAlignment="1">
      <alignment horizontal="center" vertical="center"/>
    </xf>
    <xf numFmtId="165" fontId="2" fillId="0" borderId="0" xfId="1" applyNumberFormat="1" applyFont="1" applyFill="1" applyAlignment="1">
      <alignment horizontal="center" vertical="center"/>
    </xf>
    <xf numFmtId="164" fontId="5" fillId="0" borderId="0" xfId="1" applyFont="1" applyFill="1" applyAlignment="1">
      <alignment horizontal="center" vertical="center"/>
    </xf>
    <xf numFmtId="0" fontId="5" fillId="0" borderId="0" xfId="0" applyFont="1" applyAlignment="1">
      <alignment horizontal="center" vertical="center"/>
    </xf>
    <xf numFmtId="165" fontId="5" fillId="0" borderId="0" xfId="1" applyNumberFormat="1" applyFont="1" applyFill="1" applyAlignment="1">
      <alignment horizontal="center" vertical="center"/>
    </xf>
    <xf numFmtId="0" fontId="6" fillId="0" borderId="0" xfId="0" applyFont="1" applyAlignment="1">
      <alignment horizontal="center" vertical="center" readingOrder="1"/>
    </xf>
    <xf numFmtId="167" fontId="5" fillId="0" borderId="2" xfId="1" applyNumberFormat="1" applyFont="1" applyFill="1" applyBorder="1" applyAlignment="1">
      <alignment horizontal="center" vertical="center"/>
    </xf>
    <xf numFmtId="165" fontId="5" fillId="0" borderId="2" xfId="1" applyNumberFormat="1" applyFont="1" applyFill="1" applyBorder="1" applyAlignment="1">
      <alignment horizontal="center" vertical="center"/>
    </xf>
    <xf numFmtId="164" fontId="5" fillId="0" borderId="0" xfId="1" applyFont="1" applyFill="1" applyBorder="1" applyAlignment="1">
      <alignment horizontal="center" vertical="center"/>
    </xf>
    <xf numFmtId="165" fontId="5" fillId="0" borderId="0" xfId="1" applyNumberFormat="1" applyFont="1" applyFill="1" applyBorder="1" applyAlignment="1">
      <alignment horizontal="center" vertical="center"/>
    </xf>
    <xf numFmtId="164" fontId="9" fillId="0" borderId="0" xfId="1" applyFont="1" applyFill="1" applyAlignment="1">
      <alignment horizontal="center" vertical="center"/>
    </xf>
    <xf numFmtId="0" fontId="9" fillId="0" borderId="0" xfId="0" applyFont="1" applyAlignment="1">
      <alignment horizontal="center" vertical="center"/>
    </xf>
    <xf numFmtId="165" fontId="9" fillId="0" borderId="0" xfId="1" applyNumberFormat="1" applyFont="1" applyFill="1" applyAlignment="1">
      <alignment horizontal="center" vertical="center"/>
    </xf>
    <xf numFmtId="0" fontId="8" fillId="0" borderId="0" xfId="0" applyFont="1" applyAlignment="1">
      <alignment horizontal="center" vertical="center" wrapText="1"/>
    </xf>
    <xf numFmtId="166" fontId="4" fillId="0" borderId="0" xfId="0" applyNumberFormat="1" applyFont="1"/>
    <xf numFmtId="165" fontId="2" fillId="0" borderId="0" xfId="0" applyNumberFormat="1" applyFont="1" applyAlignment="1">
      <alignment horizontal="center" vertical="center"/>
    </xf>
    <xf numFmtId="168" fontId="5" fillId="0" borderId="0" xfId="1" applyNumberFormat="1" applyFont="1" applyFill="1"/>
    <xf numFmtId="164" fontId="8" fillId="0" borderId="0" xfId="1" applyFont="1" applyBorder="1" applyAlignment="1">
      <alignment horizontal="center" vertical="center"/>
    </xf>
    <xf numFmtId="165" fontId="8" fillId="0" borderId="0" xfId="0" applyNumberFormat="1" applyFont="1" applyAlignment="1">
      <alignment horizontal="center" vertical="center"/>
    </xf>
    <xf numFmtId="166" fontId="5" fillId="0" borderId="0" xfId="0" applyNumberFormat="1" applyFont="1"/>
    <xf numFmtId="41" fontId="5" fillId="0" borderId="0" xfId="2" applyFont="1"/>
    <xf numFmtId="0" fontId="8" fillId="0" borderId="0" xfId="0" applyFont="1" applyAlignment="1">
      <alignment horizontal="center" vertical="top" wrapText="1"/>
    </xf>
    <xf numFmtId="165" fontId="2" fillId="0" borderId="1" xfId="1" applyNumberFormat="1" applyFont="1" applyFill="1" applyBorder="1" applyAlignment="1">
      <alignment horizontal="center" vertical="center"/>
    </xf>
    <xf numFmtId="168" fontId="5" fillId="0" borderId="0" xfId="1" applyNumberFormat="1" applyFont="1" applyFill="1" applyAlignment="1">
      <alignment horizontal="center" vertical="center"/>
    </xf>
    <xf numFmtId="164" fontId="2" fillId="0" borderId="0" xfId="1" applyFont="1" applyFill="1" applyAlignment="1">
      <alignment horizontal="center"/>
    </xf>
    <xf numFmtId="164" fontId="2" fillId="0" borderId="1" xfId="1" applyFont="1" applyFill="1" applyBorder="1" applyAlignment="1">
      <alignment horizontal="center"/>
    </xf>
    <xf numFmtId="164" fontId="5" fillId="0" borderId="0" xfId="1" applyFont="1" applyFill="1" applyBorder="1" applyAlignment="1">
      <alignment horizontal="center"/>
    </xf>
    <xf numFmtId="164" fontId="9" fillId="0" borderId="0" xfId="1" applyFont="1" applyFill="1" applyAlignment="1">
      <alignment horizontal="center"/>
    </xf>
    <xf numFmtId="0" fontId="2" fillId="0" borderId="0" xfId="0" applyFont="1" applyAlignment="1">
      <alignment horizontal="center"/>
    </xf>
    <xf numFmtId="165" fontId="5" fillId="0" borderId="0" xfId="1" applyNumberFormat="1" applyFont="1" applyFill="1" applyBorder="1" applyAlignment="1">
      <alignment horizontal="center"/>
    </xf>
    <xf numFmtId="0" fontId="9" fillId="0" borderId="0" xfId="0" applyFont="1" applyAlignment="1">
      <alignment horizontal="center"/>
    </xf>
    <xf numFmtId="37" fontId="8" fillId="0" borderId="0" xfId="1" applyNumberFormat="1" applyFont="1" applyFill="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center"/>
    </xf>
    <xf numFmtId="3" fontId="4" fillId="0" borderId="0" xfId="1" applyNumberFormat="1" applyFont="1" applyFill="1" applyAlignment="1">
      <alignment horizontal="center" vertical="center"/>
    </xf>
    <xf numFmtId="3" fontId="5" fillId="0" borderId="0" xfId="1" applyNumberFormat="1" applyFont="1" applyFill="1" applyAlignment="1">
      <alignment horizontal="center" vertical="center"/>
    </xf>
    <xf numFmtId="3" fontId="4" fillId="0" borderId="0" xfId="1" applyNumberFormat="1" applyFont="1" applyFill="1" applyBorder="1" applyAlignment="1">
      <alignment horizontal="center" vertical="center"/>
    </xf>
    <xf numFmtId="4" fontId="4" fillId="0" borderId="0" xfId="1" applyNumberFormat="1" applyFont="1" applyFill="1" applyAlignment="1">
      <alignment horizontal="center"/>
    </xf>
    <xf numFmtId="4" fontId="4" fillId="0" borderId="1" xfId="0" applyNumberFormat="1" applyFont="1" applyBorder="1" applyAlignment="1">
      <alignment horizontal="center"/>
    </xf>
    <xf numFmtId="4" fontId="5" fillId="0" borderId="0" xfId="1" applyNumberFormat="1" applyFont="1" applyFill="1" applyAlignment="1">
      <alignment horizontal="center"/>
    </xf>
    <xf numFmtId="4" fontId="4" fillId="0" borderId="0" xfId="1" applyNumberFormat="1" applyFont="1" applyFill="1" applyBorder="1" applyAlignment="1">
      <alignment horizontal="center"/>
    </xf>
    <xf numFmtId="4" fontId="4" fillId="0" borderId="1" xfId="1" applyNumberFormat="1" applyFont="1" applyFill="1" applyBorder="1" applyAlignment="1">
      <alignment horizontal="center"/>
    </xf>
    <xf numFmtId="4" fontId="5" fillId="0" borderId="2" xfId="1" applyNumberFormat="1" applyFont="1" applyFill="1" applyBorder="1" applyAlignment="1">
      <alignment horizontal="center"/>
    </xf>
    <xf numFmtId="4" fontId="4" fillId="0" borderId="0" xfId="1" applyNumberFormat="1" applyFont="1" applyFill="1" applyAlignment="1">
      <alignment horizontal="center" vertical="center"/>
    </xf>
    <xf numFmtId="4" fontId="4" fillId="0" borderId="1" xfId="0" applyNumberFormat="1" applyFont="1" applyBorder="1" applyAlignment="1">
      <alignment horizontal="center" vertical="center"/>
    </xf>
    <xf numFmtId="4" fontId="4" fillId="0" borderId="1" xfId="1" applyNumberFormat="1" applyFont="1" applyFill="1" applyBorder="1" applyAlignment="1">
      <alignment horizontal="center" vertical="center"/>
    </xf>
    <xf numFmtId="4" fontId="5" fillId="0" borderId="0" xfId="1" applyNumberFormat="1" applyFont="1" applyFill="1" applyAlignment="1">
      <alignment horizontal="center" vertical="center"/>
    </xf>
    <xf numFmtId="4" fontId="4" fillId="0" borderId="0" xfId="1" applyNumberFormat="1" applyFont="1" applyFill="1" applyBorder="1" applyAlignment="1">
      <alignment horizontal="center" vertical="center"/>
    </xf>
    <xf numFmtId="37" fontId="4" fillId="0" borderId="0" xfId="1" applyNumberFormat="1" applyFont="1" applyFill="1" applyAlignment="1">
      <alignment horizontal="center" vertical="center"/>
    </xf>
    <xf numFmtId="37" fontId="4" fillId="0" borderId="0" xfId="1" applyNumberFormat="1" applyFont="1" applyFill="1" applyBorder="1" applyAlignment="1">
      <alignment horizontal="center" vertical="center"/>
    </xf>
    <xf numFmtId="4" fontId="5" fillId="0" borderId="2" xfId="1" applyNumberFormat="1" applyFont="1" applyFill="1" applyBorder="1" applyAlignment="1">
      <alignment horizontal="center" vertical="center"/>
    </xf>
    <xf numFmtId="38" fontId="8" fillId="0" borderId="0" xfId="1" applyNumberFormat="1" applyFont="1" applyAlignment="1">
      <alignment horizontal="center" vertical="center"/>
    </xf>
    <xf numFmtId="38" fontId="8" fillId="0" borderId="0" xfId="0" applyNumberFormat="1" applyFont="1"/>
    <xf numFmtId="38" fontId="8" fillId="0" borderId="0" xfId="1" applyNumberFormat="1" applyFont="1" applyFill="1" applyBorder="1" applyAlignment="1">
      <alignment horizontal="center" vertical="center"/>
    </xf>
    <xf numFmtId="38" fontId="8" fillId="0" borderId="0" xfId="1" applyNumberFormat="1" applyFont="1" applyBorder="1" applyAlignment="1">
      <alignment horizontal="center" vertical="center"/>
    </xf>
    <xf numFmtId="38" fontId="8" fillId="0" borderId="3" xfId="1" applyNumberFormat="1" applyFont="1" applyBorder="1" applyAlignment="1">
      <alignment horizontal="center" vertical="center"/>
    </xf>
    <xf numFmtId="38" fontId="8" fillId="0" borderId="0" xfId="1" applyNumberFormat="1" applyFont="1" applyFill="1" applyAlignment="1">
      <alignment horizontal="center" vertical="center"/>
    </xf>
    <xf numFmtId="38" fontId="8" fillId="0" borderId="3" xfId="0" applyNumberFormat="1" applyFont="1" applyBorder="1" applyAlignment="1">
      <alignment horizontal="center" vertical="center"/>
    </xf>
    <xf numFmtId="40" fontId="8" fillId="0" borderId="0" xfId="1" applyNumberFormat="1" applyFont="1" applyAlignment="1">
      <alignment horizontal="center" vertical="center"/>
    </xf>
    <xf numFmtId="40" fontId="8" fillId="0" borderId="0" xfId="1" applyNumberFormat="1" applyFont="1" applyBorder="1" applyAlignment="1">
      <alignment horizontal="center" vertical="center"/>
    </xf>
    <xf numFmtId="40" fontId="8" fillId="0" borderId="3" xfId="1" applyNumberFormat="1" applyFont="1" applyBorder="1" applyAlignment="1">
      <alignment horizontal="center" vertical="center"/>
    </xf>
    <xf numFmtId="40" fontId="8" fillId="0" borderId="3" xfId="0" applyNumberFormat="1" applyFont="1" applyBorder="1" applyAlignment="1">
      <alignment horizontal="center" vertical="center"/>
    </xf>
    <xf numFmtId="40" fontId="4" fillId="0" borderId="0" xfId="1" applyNumberFormat="1" applyFont="1" applyFill="1"/>
    <xf numFmtId="40" fontId="4" fillId="0" borderId="1" xfId="1" applyNumberFormat="1" applyFont="1" applyFill="1" applyBorder="1"/>
    <xf numFmtId="40" fontId="5" fillId="0" borderId="0" xfId="1" applyNumberFormat="1" applyFont="1" applyFill="1"/>
    <xf numFmtId="40" fontId="4" fillId="0" borderId="1" xfId="0" applyNumberFormat="1" applyFont="1" applyBorder="1"/>
    <xf numFmtId="40" fontId="5" fillId="0" borderId="2" xfId="1" applyNumberFormat="1" applyFont="1" applyFill="1" applyBorder="1"/>
    <xf numFmtId="40" fontId="4" fillId="0" borderId="0" xfId="1" applyNumberFormat="1" applyFont="1" applyFill="1" applyAlignment="1">
      <alignment horizontal="center" vertical="center"/>
    </xf>
    <xf numFmtId="40" fontId="4" fillId="0" borderId="1" xfId="1" applyNumberFormat="1" applyFont="1" applyFill="1" applyBorder="1" applyAlignment="1">
      <alignment horizontal="center" vertical="center"/>
    </xf>
    <xf numFmtId="40" fontId="5" fillId="0" borderId="0" xfId="1" applyNumberFormat="1" applyFont="1" applyFill="1" applyAlignment="1">
      <alignment horizontal="center" vertical="center"/>
    </xf>
    <xf numFmtId="40" fontId="4" fillId="0" borderId="1" xfId="0" applyNumberFormat="1" applyFont="1" applyBorder="1" applyAlignment="1">
      <alignment horizontal="center" vertical="center"/>
    </xf>
    <xf numFmtId="40" fontId="4" fillId="0" borderId="0" xfId="1" applyNumberFormat="1" applyFont="1" applyFill="1" applyBorder="1" applyAlignment="1">
      <alignment horizontal="center" vertical="center"/>
    </xf>
    <xf numFmtId="40" fontId="5" fillId="0" borderId="2" xfId="1" applyNumberFormat="1" applyFont="1" applyFill="1" applyBorder="1" applyAlignment="1">
      <alignment horizontal="center" vertical="center"/>
    </xf>
    <xf numFmtId="3" fontId="8" fillId="0" borderId="0" xfId="1" applyNumberFormat="1" applyFont="1" applyFill="1" applyBorder="1" applyAlignment="1">
      <alignment horizontal="center" vertical="center"/>
    </xf>
    <xf numFmtId="3" fontId="4" fillId="0" borderId="0" xfId="1" applyNumberFormat="1" applyFont="1" applyFill="1" applyAlignment="1">
      <alignment horizontal="center"/>
    </xf>
    <xf numFmtId="3" fontId="5" fillId="0" borderId="0" xfId="1" applyNumberFormat="1" applyFont="1" applyFill="1" applyAlignment="1">
      <alignment horizontal="center"/>
    </xf>
    <xf numFmtId="3" fontId="4" fillId="0" borderId="0" xfId="1" applyNumberFormat="1" applyFont="1" applyFill="1" applyBorder="1" applyAlignment="1">
      <alignment horizontal="center"/>
    </xf>
    <xf numFmtId="40" fontId="8" fillId="0" borderId="1" xfId="1" applyNumberFormat="1" applyFont="1" applyBorder="1" applyAlignment="1">
      <alignment horizontal="center" vertical="center"/>
    </xf>
    <xf numFmtId="38" fontId="8" fillId="2" borderId="0" xfId="1" applyNumberFormat="1" applyFont="1" applyFill="1" applyAlignment="1">
      <alignment horizontal="center" vertical="center"/>
    </xf>
    <xf numFmtId="38" fontId="4" fillId="0" borderId="0" xfId="1" applyNumberFormat="1" applyFont="1" applyFill="1" applyAlignment="1">
      <alignment horizontal="center"/>
    </xf>
    <xf numFmtId="38" fontId="5" fillId="0" borderId="0" xfId="1" applyNumberFormat="1" applyFont="1" applyFill="1" applyAlignment="1">
      <alignment horizontal="center"/>
    </xf>
    <xf numFmtId="38" fontId="4" fillId="2" borderId="0" xfId="1" applyNumberFormat="1" applyFont="1" applyFill="1" applyAlignment="1">
      <alignment horizontal="center"/>
    </xf>
    <xf numFmtId="49" fontId="8" fillId="0" borderId="0" xfId="0" applyNumberFormat="1" applyFont="1" applyAlignment="1">
      <alignment horizontal="right" vertical="top" wrapText="1" readingOrder="2"/>
    </xf>
    <xf numFmtId="0" fontId="8" fillId="0" borderId="0" xfId="0" applyFont="1" applyAlignment="1">
      <alignment horizontal="center"/>
    </xf>
  </cellXfs>
  <cellStyles count="3">
    <cellStyle name="Comma" xfId="1" builtinId="3"/>
    <cellStyle name="Comma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B42D-B408-4F42-8283-21B5B7A2E7C4}">
  <sheetPr>
    <pageSetUpPr fitToPage="1"/>
  </sheetPr>
  <dimension ref="A1:T25"/>
  <sheetViews>
    <sheetView rightToLeft="1" view="pageBreakPreview" zoomScaleNormal="100" zoomScaleSheetLayoutView="100" workbookViewId="0">
      <selection activeCell="P23" sqref="P23"/>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7" width="13.28515625" style="9" bestFit="1" customWidth="1"/>
    <col min="8" max="8" width="12.85546875" style="9" bestFit="1" customWidth="1"/>
    <col min="9" max="9" width="1.7109375" style="1" customWidth="1"/>
    <col min="10" max="10" width="16.28515625" style="10" customWidth="1"/>
    <col min="11" max="11" width="1.7109375" style="1" customWidth="1"/>
    <col min="12" max="12" width="20.28515625" style="1" customWidth="1"/>
    <col min="13" max="13" width="1.7109375" style="1" customWidth="1"/>
    <col min="14" max="14" width="9.140625" style="1"/>
    <col min="15" max="15" width="12.5703125" style="1" hidden="1" customWidth="1"/>
    <col min="16" max="16" width="9.140625" style="1"/>
    <col min="17" max="17" width="12.85546875" style="26" bestFit="1" customWidth="1"/>
    <col min="18" max="18" width="9.140625" style="1"/>
    <col min="19" max="19" width="11.7109375" style="1" bestFit="1" customWidth="1"/>
    <col min="20" max="20" width="12.85546875" style="1" bestFit="1" customWidth="1"/>
    <col min="21" max="16384" width="9.140625" style="1"/>
  </cols>
  <sheetData>
    <row r="1" spans="2:20" ht="27" x14ac:dyDescent="0.55000000000000004">
      <c r="B1" s="8" t="s">
        <v>19</v>
      </c>
      <c r="L1" s="11" t="s">
        <v>21</v>
      </c>
    </row>
    <row r="2" spans="2:20" ht="27" x14ac:dyDescent="0.55000000000000004">
      <c r="B2" s="8" t="s">
        <v>5</v>
      </c>
      <c r="L2" s="11" t="s">
        <v>22</v>
      </c>
    </row>
    <row r="3" spans="2:20" ht="27" x14ac:dyDescent="0.55000000000000004">
      <c r="B3" s="12" t="s">
        <v>20</v>
      </c>
      <c r="C3" s="2"/>
      <c r="D3" s="2"/>
      <c r="E3" s="2"/>
      <c r="F3" s="2"/>
      <c r="G3" s="13"/>
      <c r="H3" s="13"/>
      <c r="I3" s="2"/>
      <c r="J3" s="14"/>
      <c r="K3" s="2"/>
      <c r="L3" s="15" t="s">
        <v>14</v>
      </c>
    </row>
    <row r="4" spans="2:20" ht="5.0999999999999996" customHeight="1" x14ac:dyDescent="0.55000000000000004"/>
    <row r="5" spans="2:20" s="3" customFormat="1" ht="43.5" x14ac:dyDescent="0.25">
      <c r="G5" s="16"/>
      <c r="H5" s="17" t="s">
        <v>1</v>
      </c>
      <c r="J5" s="18" t="s">
        <v>4</v>
      </c>
      <c r="L5" s="20" t="s">
        <v>0</v>
      </c>
      <c r="Q5" s="30"/>
    </row>
    <row r="6" spans="2:20" s="4" customFormat="1" ht="21.75" x14ac:dyDescent="0.6">
      <c r="B6" s="4" t="s">
        <v>3</v>
      </c>
      <c r="G6" s="21"/>
      <c r="H6" s="119">
        <v>320073.40000000002</v>
      </c>
      <c r="J6" s="136"/>
      <c r="L6" s="119">
        <f>L8/109%</f>
        <v>91199951578.513763</v>
      </c>
      <c r="Q6" s="27"/>
    </row>
    <row r="7" spans="2:20" s="4" customFormat="1" ht="21.75" x14ac:dyDescent="0.6">
      <c r="B7" s="4" t="s">
        <v>2</v>
      </c>
      <c r="G7" s="21"/>
      <c r="H7" s="122">
        <f>(H6*9%)-0.0259999999980209</f>
        <v>28806.58</v>
      </c>
      <c r="J7" s="136"/>
      <c r="L7" s="120">
        <f>L6*9%</f>
        <v>8207995642.0662384</v>
      </c>
      <c r="Q7" s="27"/>
      <c r="S7" s="31"/>
    </row>
    <row r="8" spans="2:20" s="5" customFormat="1" ht="24" x14ac:dyDescent="0.7">
      <c r="B8" s="5" t="s">
        <v>8</v>
      </c>
      <c r="G8" s="23"/>
      <c r="H8" s="121">
        <f>SUM(H6:H7)</f>
        <v>348879.98000000004</v>
      </c>
      <c r="J8" s="137"/>
      <c r="L8" s="121">
        <f>L14+L12</f>
        <v>99407947220.580017</v>
      </c>
      <c r="Q8" s="28"/>
      <c r="S8" s="29"/>
    </row>
    <row r="9" spans="2:20" s="4" customFormat="1" ht="21.75" x14ac:dyDescent="0.6">
      <c r="G9" s="21"/>
      <c r="H9" s="119"/>
      <c r="J9" s="136"/>
      <c r="L9" s="119"/>
      <c r="Q9" s="27"/>
    </row>
    <row r="10" spans="2:20" s="4" customFormat="1" ht="24" x14ac:dyDescent="0.7">
      <c r="B10" s="5" t="s">
        <v>6</v>
      </c>
      <c r="G10" s="21"/>
      <c r="H10" s="119"/>
      <c r="J10" s="136"/>
      <c r="L10" s="119"/>
      <c r="Q10" s="27"/>
    </row>
    <row r="11" spans="2:20" s="4" customFormat="1" ht="21.75" x14ac:dyDescent="0.6">
      <c r="B11" s="4" t="s">
        <v>9</v>
      </c>
      <c r="G11" s="21"/>
      <c r="H11" s="120">
        <f>(H6*30%)-0.0399999999644933</f>
        <v>96021.98000000004</v>
      </c>
      <c r="I11" s="32"/>
      <c r="J11" s="138">
        <f>J22</f>
        <v>290271</v>
      </c>
      <c r="K11" s="24"/>
      <c r="L11" s="120">
        <f>H11*J11</f>
        <v>27872396156.580013</v>
      </c>
      <c r="O11" s="25"/>
      <c r="Q11" s="27"/>
      <c r="T11" s="27"/>
    </row>
    <row r="12" spans="2:20" s="5" customFormat="1" ht="24" x14ac:dyDescent="0.7">
      <c r="G12" s="23"/>
      <c r="H12" s="121">
        <f>SUM(H11:H11)</f>
        <v>96021.98000000004</v>
      </c>
      <c r="J12" s="137"/>
      <c r="L12" s="121">
        <f>SUM(L11:L11)</f>
        <v>27872396156.580013</v>
      </c>
      <c r="Q12" s="28"/>
      <c r="R12" s="29"/>
      <c r="T12" s="28"/>
    </row>
    <row r="13" spans="2:20" s="4" customFormat="1" ht="21.75" x14ac:dyDescent="0.6">
      <c r="G13" s="21"/>
      <c r="H13" s="119"/>
      <c r="J13" s="136"/>
      <c r="L13" s="119"/>
      <c r="Q13" s="27"/>
      <c r="T13" s="27"/>
    </row>
    <row r="14" spans="2:20" s="5" customFormat="1" ht="24.75" thickBot="1" x14ac:dyDescent="0.75">
      <c r="B14" s="5" t="s">
        <v>18</v>
      </c>
      <c r="G14" s="23"/>
      <c r="H14" s="123">
        <f>H8-H12</f>
        <v>252858</v>
      </c>
      <c r="J14" s="136">
        <v>282908</v>
      </c>
      <c r="L14" s="123">
        <f>H14*J14</f>
        <v>71535551064</v>
      </c>
      <c r="M14" s="7"/>
      <c r="N14" s="6"/>
      <c r="Q14" s="28"/>
    </row>
    <row r="15" spans="2:20" s="5" customFormat="1" ht="24.75" thickTop="1" x14ac:dyDescent="0.7">
      <c r="G15" s="23"/>
      <c r="H15" s="33"/>
      <c r="J15" s="21"/>
      <c r="L15" s="34"/>
      <c r="M15" s="7"/>
      <c r="N15" s="6"/>
      <c r="Q15" s="28"/>
    </row>
    <row r="17" spans="1:17" s="48" customFormat="1" ht="23.25" x14ac:dyDescent="0.7">
      <c r="B17" s="48" t="s">
        <v>23</v>
      </c>
      <c r="G17" s="49"/>
      <c r="H17" s="49"/>
      <c r="J17" s="50"/>
      <c r="Q17" s="51"/>
    </row>
    <row r="18" spans="1:17" s="37" customFormat="1" ht="24.95" customHeight="1" x14ac:dyDescent="0.6">
      <c r="A18" s="35"/>
      <c r="B18" s="52" t="s">
        <v>24</v>
      </c>
      <c r="C18" s="36"/>
      <c r="D18" s="36"/>
      <c r="E18" s="36"/>
      <c r="F18" s="36"/>
      <c r="G18" s="36"/>
      <c r="H18" s="36"/>
      <c r="I18" s="36"/>
      <c r="J18" s="36"/>
      <c r="K18" s="36"/>
      <c r="L18" s="36"/>
      <c r="Q18" s="38"/>
    </row>
    <row r="19" spans="1:17" s="37" customFormat="1" ht="24.95" customHeight="1" x14ac:dyDescent="0.6">
      <c r="A19" s="35"/>
      <c r="B19" s="139" t="s">
        <v>29</v>
      </c>
      <c r="C19" s="139"/>
      <c r="D19" s="139"/>
      <c r="E19" s="139"/>
      <c r="F19" s="139"/>
      <c r="G19" s="139"/>
      <c r="H19" s="139"/>
      <c r="I19" s="139"/>
      <c r="J19" s="139"/>
      <c r="K19" s="139"/>
      <c r="L19" s="139"/>
      <c r="Q19" s="38"/>
    </row>
    <row r="20" spans="1:17" s="37" customFormat="1" ht="24.95" customHeight="1" x14ac:dyDescent="0.6">
      <c r="A20" s="35"/>
      <c r="B20" s="139"/>
      <c r="C20" s="139"/>
      <c r="D20" s="139"/>
      <c r="E20" s="139"/>
      <c r="F20" s="139"/>
      <c r="G20" s="139"/>
      <c r="H20" s="139"/>
      <c r="I20" s="139"/>
      <c r="J20" s="139"/>
      <c r="K20" s="139"/>
      <c r="L20" s="139"/>
      <c r="Q20" s="38"/>
    </row>
    <row r="21" spans="1:17" s="39" customFormat="1" ht="21" x14ac:dyDescent="0.6">
      <c r="G21" s="39" t="s">
        <v>15</v>
      </c>
      <c r="H21" s="39" t="s">
        <v>12</v>
      </c>
      <c r="J21" s="39" t="s">
        <v>13</v>
      </c>
      <c r="L21" s="39" t="s">
        <v>0</v>
      </c>
      <c r="Q21" s="40"/>
    </row>
    <row r="22" spans="1:17" s="37" customFormat="1" ht="21" x14ac:dyDescent="0.6">
      <c r="B22" s="37" t="s">
        <v>16</v>
      </c>
      <c r="G22" s="41" t="s">
        <v>10</v>
      </c>
      <c r="H22" s="115">
        <v>124429.8</v>
      </c>
      <c r="J22" s="135">
        <v>290271</v>
      </c>
      <c r="L22" s="115">
        <f>H22*J22</f>
        <v>36118362475.800003</v>
      </c>
      <c r="Q22" s="38"/>
    </row>
    <row r="23" spans="1:17" s="37" customFormat="1" ht="21" x14ac:dyDescent="0.6">
      <c r="B23" s="37" t="s">
        <v>17</v>
      </c>
      <c r="G23" s="41" t="s">
        <v>11</v>
      </c>
      <c r="H23" s="134">
        <v>34391.1</v>
      </c>
      <c r="J23" s="108">
        <v>294059</v>
      </c>
      <c r="L23" s="134">
        <f>H23*J23</f>
        <v>10113012474.9</v>
      </c>
      <c r="Q23" s="38"/>
    </row>
    <row r="24" spans="1:17" s="37" customFormat="1" ht="21.75" thickBot="1" x14ac:dyDescent="0.65">
      <c r="G24" s="41"/>
      <c r="H24" s="117">
        <f>SUM(H22:H23)</f>
        <v>158820.9</v>
      </c>
      <c r="J24" s="113"/>
      <c r="L24" s="118">
        <f>SUM(L22:L23)</f>
        <v>46231374950.700005</v>
      </c>
      <c r="Q24" s="38"/>
    </row>
    <row r="25" spans="1:17" ht="20.25" thickTop="1" x14ac:dyDescent="0.55000000000000004">
      <c r="D25" s="26"/>
      <c r="E25" s="26"/>
    </row>
  </sheetData>
  <mergeCells count="1">
    <mergeCell ref="B19:L20"/>
  </mergeCells>
  <printOptions horizontalCentered="1"/>
  <pageMargins left="0.7" right="0.7"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85CA-921F-4F86-B3F0-63272D488DFB}">
  <sheetPr>
    <pageSetUpPr fitToPage="1"/>
  </sheetPr>
  <dimension ref="A1:U29"/>
  <sheetViews>
    <sheetView rightToLeft="1" view="pageBreakPreview" zoomScaleNormal="100" zoomScaleSheetLayoutView="100" workbookViewId="0">
      <selection activeCell="Q30" sqref="Q30"/>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7" width="13.28515625" style="9" bestFit="1" customWidth="1"/>
    <col min="8" max="8" width="12.85546875" style="9" bestFit="1" customWidth="1"/>
    <col min="9" max="9" width="1.7109375" style="1" customWidth="1"/>
    <col min="10" max="10" width="18.85546875" style="10" bestFit="1" customWidth="1"/>
    <col min="11" max="11" width="1.7109375" style="1" customWidth="1"/>
    <col min="12" max="12" width="20.28515625" style="1" customWidth="1"/>
    <col min="13" max="13" width="1.7109375" style="1" customWidth="1"/>
    <col min="14" max="14" width="9.140625" style="1"/>
    <col min="15" max="15" width="12.5703125" style="1" hidden="1" customWidth="1"/>
    <col min="16" max="16" width="9.140625" style="1"/>
    <col min="17" max="17" width="12.85546875" style="26" bestFit="1" customWidth="1"/>
    <col min="18" max="18" width="9.140625" style="1"/>
    <col min="19" max="19" width="11.7109375" style="1" bestFit="1" customWidth="1"/>
    <col min="20" max="20" width="12.85546875" style="1" bestFit="1" customWidth="1"/>
    <col min="21" max="16384" width="9.140625" style="1"/>
  </cols>
  <sheetData>
    <row r="1" spans="2:21" ht="27" x14ac:dyDescent="0.55000000000000004">
      <c r="B1" s="8" t="s">
        <v>19</v>
      </c>
      <c r="L1" s="11" t="s">
        <v>21</v>
      </c>
    </row>
    <row r="2" spans="2:21" ht="27" x14ac:dyDescent="0.55000000000000004">
      <c r="B2" s="8" t="s">
        <v>5</v>
      </c>
      <c r="L2" s="11" t="s">
        <v>22</v>
      </c>
    </row>
    <row r="3" spans="2:21" ht="27" x14ac:dyDescent="0.55000000000000004">
      <c r="B3" s="12" t="s">
        <v>20</v>
      </c>
      <c r="C3" s="2"/>
      <c r="D3" s="2"/>
      <c r="E3" s="2"/>
      <c r="F3" s="2"/>
      <c r="G3" s="13"/>
      <c r="H3" s="13"/>
      <c r="I3" s="2"/>
      <c r="J3" s="14"/>
      <c r="K3" s="2"/>
      <c r="L3" s="15" t="s">
        <v>35</v>
      </c>
    </row>
    <row r="4" spans="2:21" ht="5.0999999999999996" customHeight="1" x14ac:dyDescent="0.55000000000000004"/>
    <row r="5" spans="2:21" s="3" customFormat="1" ht="43.5" x14ac:dyDescent="0.25">
      <c r="G5" s="16"/>
      <c r="H5" s="17" t="s">
        <v>1</v>
      </c>
      <c r="J5" s="18" t="s">
        <v>4</v>
      </c>
      <c r="L5" s="20" t="s">
        <v>0</v>
      </c>
      <c r="Q5" s="30"/>
    </row>
    <row r="6" spans="2:21" s="4" customFormat="1" ht="21.75" x14ac:dyDescent="0.6">
      <c r="B6" s="4" t="s">
        <v>3</v>
      </c>
      <c r="G6" s="21"/>
      <c r="H6" s="124">
        <v>143801.96</v>
      </c>
      <c r="J6" s="131"/>
      <c r="L6" s="124">
        <f>L8/109%</f>
        <v>41432962759.899071</v>
      </c>
      <c r="Q6" s="27"/>
    </row>
    <row r="7" spans="2:21" s="4" customFormat="1" ht="21.75" x14ac:dyDescent="0.6">
      <c r="B7" s="4" t="s">
        <v>2</v>
      </c>
      <c r="G7" s="21"/>
      <c r="H7" s="127">
        <f>(H6*9%)+0.0136000000020431</f>
        <v>12942.19</v>
      </c>
      <c r="J7" s="131"/>
      <c r="L7" s="125">
        <f>L6*9%</f>
        <v>3728966648.3909163</v>
      </c>
      <c r="Q7" s="27"/>
      <c r="S7" s="31"/>
    </row>
    <row r="8" spans="2:21" s="5" customFormat="1" ht="24" x14ac:dyDescent="0.7">
      <c r="B8" s="5" t="s">
        <v>8</v>
      </c>
      <c r="G8" s="23"/>
      <c r="H8" s="126">
        <f>SUM(H6:H7)</f>
        <v>156744.15</v>
      </c>
      <c r="J8" s="132"/>
      <c r="L8" s="126">
        <f>L15+L13</f>
        <v>45161929408.289993</v>
      </c>
      <c r="Q8" s="28"/>
      <c r="S8" s="29"/>
    </row>
    <row r="9" spans="2:21" s="4" customFormat="1" ht="21.75" x14ac:dyDescent="0.6">
      <c r="G9" s="21"/>
      <c r="H9" s="124"/>
      <c r="J9" s="131"/>
      <c r="L9" s="124"/>
      <c r="Q9" s="27"/>
    </row>
    <row r="10" spans="2:21" s="4" customFormat="1" ht="24" x14ac:dyDescent="0.7">
      <c r="B10" s="5" t="s">
        <v>6</v>
      </c>
      <c r="G10" s="21"/>
      <c r="H10" s="124"/>
      <c r="J10" s="131"/>
      <c r="L10" s="124"/>
      <c r="Q10" s="27"/>
    </row>
    <row r="11" spans="2:21" s="4" customFormat="1" ht="21.75" x14ac:dyDescent="0.6">
      <c r="B11" s="4" t="s">
        <v>32</v>
      </c>
      <c r="F11" s="31"/>
      <c r="G11" s="21"/>
      <c r="H11" s="128">
        <f>H23+H25</f>
        <v>28407.820000000007</v>
      </c>
      <c r="I11" s="32"/>
      <c r="J11" s="131">
        <f>J23</f>
        <v>290271</v>
      </c>
      <c r="K11" s="24"/>
      <c r="L11" s="128">
        <f>H11*J11</f>
        <v>8245966319.2200022</v>
      </c>
      <c r="O11" s="25"/>
      <c r="Q11" s="27"/>
      <c r="T11" s="27"/>
    </row>
    <row r="12" spans="2:21" s="4" customFormat="1" ht="21.75" x14ac:dyDescent="0.6">
      <c r="B12" s="4" t="s">
        <v>33</v>
      </c>
      <c r="F12" s="31"/>
      <c r="G12" s="21"/>
      <c r="H12" s="125">
        <f>H13-H11</f>
        <v>14732.76999999999</v>
      </c>
      <c r="I12" s="32"/>
      <c r="J12" s="133">
        <f>J24</f>
        <v>294059</v>
      </c>
      <c r="K12" s="24"/>
      <c r="L12" s="125">
        <f>H12*J12</f>
        <v>4332303613.4299965</v>
      </c>
      <c r="O12" s="25"/>
      <c r="Q12" s="27"/>
      <c r="T12" s="27"/>
    </row>
    <row r="13" spans="2:21" s="5" customFormat="1" ht="24" x14ac:dyDescent="0.7">
      <c r="B13" s="5" t="s">
        <v>9</v>
      </c>
      <c r="G13" s="23"/>
      <c r="H13" s="126">
        <f>H6*30%+0.00200000000040745</f>
        <v>43140.59</v>
      </c>
      <c r="J13" s="132"/>
      <c r="L13" s="126">
        <f>SUM(L11:L12)</f>
        <v>12578269932.649998</v>
      </c>
      <c r="Q13" s="28"/>
      <c r="R13" s="29"/>
      <c r="T13" s="28">
        <v>43140.59</v>
      </c>
      <c r="U13" s="29">
        <v>2.0000000004074502E-3</v>
      </c>
    </row>
    <row r="14" spans="2:21" s="4" customFormat="1" ht="21.75" x14ac:dyDescent="0.6">
      <c r="G14" s="21"/>
      <c r="H14" s="124"/>
      <c r="J14" s="131"/>
      <c r="L14" s="124"/>
      <c r="Q14" s="27"/>
      <c r="T14" s="27"/>
    </row>
    <row r="15" spans="2:21" s="5" customFormat="1" ht="24.75" thickBot="1" x14ac:dyDescent="0.75">
      <c r="B15" s="5" t="s">
        <v>18</v>
      </c>
      <c r="G15" s="23"/>
      <c r="H15" s="129">
        <f>H8-H13</f>
        <v>113603.56</v>
      </c>
      <c r="J15" s="131">
        <v>286819</v>
      </c>
      <c r="L15" s="129">
        <f>H15*J15</f>
        <v>32583659475.639999</v>
      </c>
      <c r="M15" s="7"/>
      <c r="N15" s="6"/>
      <c r="Q15" s="28"/>
    </row>
    <row r="16" spans="2:21" s="5" customFormat="1" ht="24.75" thickTop="1" x14ac:dyDescent="0.7">
      <c r="G16" s="23"/>
      <c r="H16" s="33"/>
      <c r="J16" s="21"/>
      <c r="L16" s="34"/>
      <c r="M16" s="7"/>
      <c r="N16" s="6"/>
      <c r="Q16" s="28"/>
    </row>
    <row r="18" spans="1:17" s="48" customFormat="1" ht="23.25" x14ac:dyDescent="0.7">
      <c r="B18" s="48" t="s">
        <v>23</v>
      </c>
      <c r="G18" s="49"/>
      <c r="H18" s="49"/>
      <c r="J18" s="50"/>
      <c r="Q18" s="51"/>
    </row>
    <row r="19" spans="1:17" s="37" customFormat="1" ht="24.95" customHeight="1" x14ac:dyDescent="0.6">
      <c r="A19" s="35"/>
      <c r="B19" s="52" t="s">
        <v>34</v>
      </c>
      <c r="C19" s="36"/>
      <c r="D19" s="36"/>
      <c r="E19" s="36"/>
      <c r="F19" s="36"/>
      <c r="G19" s="36"/>
      <c r="H19" s="36"/>
      <c r="I19" s="36"/>
      <c r="J19" s="36"/>
      <c r="K19" s="36"/>
      <c r="L19" s="36"/>
      <c r="Q19" s="38"/>
    </row>
    <row r="20" spans="1:17" s="37" customFormat="1" ht="24.95" customHeight="1" x14ac:dyDescent="0.6">
      <c r="A20" s="35"/>
      <c r="B20" s="139" t="s">
        <v>30</v>
      </c>
      <c r="C20" s="139"/>
      <c r="D20" s="139"/>
      <c r="E20" s="139"/>
      <c r="F20" s="139"/>
      <c r="G20" s="139"/>
      <c r="H20" s="139"/>
      <c r="I20" s="139"/>
      <c r="J20" s="139"/>
      <c r="K20" s="139"/>
      <c r="L20" s="139"/>
      <c r="Q20" s="38"/>
    </row>
    <row r="21" spans="1:17" s="37" customFormat="1" ht="24.95" customHeight="1" x14ac:dyDescent="0.6">
      <c r="A21" s="35"/>
      <c r="B21" s="139"/>
      <c r="C21" s="139"/>
      <c r="D21" s="139"/>
      <c r="E21" s="139"/>
      <c r="F21" s="139"/>
      <c r="G21" s="139"/>
      <c r="H21" s="139"/>
      <c r="I21" s="139"/>
      <c r="J21" s="139"/>
      <c r="K21" s="139"/>
      <c r="L21" s="139"/>
      <c r="Q21" s="38"/>
    </row>
    <row r="22" spans="1:17" s="39" customFormat="1" ht="21" x14ac:dyDescent="0.6">
      <c r="G22" s="39" t="s">
        <v>15</v>
      </c>
      <c r="H22" s="39" t="s">
        <v>12</v>
      </c>
      <c r="J22" s="39" t="s">
        <v>13</v>
      </c>
      <c r="L22" s="39" t="s">
        <v>0</v>
      </c>
      <c r="Q22" s="40"/>
    </row>
    <row r="23" spans="1:17" s="37" customFormat="1" ht="21" x14ac:dyDescent="0.6">
      <c r="B23" s="37" t="s">
        <v>16</v>
      </c>
      <c r="G23" s="41" t="s">
        <v>10</v>
      </c>
      <c r="H23" s="115">
        <v>124429.8</v>
      </c>
      <c r="J23" s="130">
        <v>290271</v>
      </c>
      <c r="L23" s="115">
        <f>H23*J23</f>
        <v>36118362475.800003</v>
      </c>
      <c r="Q23" s="38"/>
    </row>
    <row r="24" spans="1:17" s="37" customFormat="1" ht="21" x14ac:dyDescent="0.6">
      <c r="B24" s="37" t="s">
        <v>17</v>
      </c>
      <c r="G24" s="41" t="s">
        <v>11</v>
      </c>
      <c r="H24" s="116">
        <v>34391.1</v>
      </c>
      <c r="J24" s="130">
        <v>294059</v>
      </c>
      <c r="L24" s="116">
        <f>H24*J24</f>
        <v>10113012474.9</v>
      </c>
      <c r="Q24" s="38"/>
    </row>
    <row r="25" spans="1:17" s="37" customFormat="1" ht="21" x14ac:dyDescent="0.6">
      <c r="B25" s="37" t="s">
        <v>31</v>
      </c>
      <c r="G25" s="41"/>
      <c r="H25" s="116">
        <v>-96021.98</v>
      </c>
      <c r="J25" s="130">
        <v>290271</v>
      </c>
      <c r="L25" s="115">
        <f>H25*J25</f>
        <v>-27872396156.579998</v>
      </c>
      <c r="Q25" s="38"/>
    </row>
    <row r="26" spans="1:17" s="37" customFormat="1" ht="21.75" thickBot="1" x14ac:dyDescent="0.65">
      <c r="B26" s="37" t="s">
        <v>38</v>
      </c>
      <c r="G26" s="41"/>
      <c r="H26" s="117">
        <f>SUM(H23:H25)</f>
        <v>62798.92</v>
      </c>
      <c r="J26" s="54"/>
      <c r="L26" s="118">
        <f>SUM(L23:L25)</f>
        <v>18358978794.120007</v>
      </c>
      <c r="Q26" s="38"/>
    </row>
    <row r="27" spans="1:17" s="37" customFormat="1" ht="21.75" thickTop="1" x14ac:dyDescent="0.6">
      <c r="G27" s="41"/>
      <c r="H27" s="74"/>
      <c r="J27" s="54"/>
      <c r="L27" s="75"/>
      <c r="Q27" s="38"/>
    </row>
    <row r="28" spans="1:17" x14ac:dyDescent="0.55000000000000004">
      <c r="B28" s="139" t="s">
        <v>48</v>
      </c>
      <c r="C28" s="139"/>
      <c r="D28" s="139"/>
      <c r="E28" s="139"/>
      <c r="F28" s="139"/>
      <c r="G28" s="139"/>
      <c r="H28" s="139"/>
      <c r="I28" s="139"/>
      <c r="J28" s="139"/>
      <c r="K28" s="139"/>
      <c r="L28" s="139"/>
    </row>
    <row r="29" spans="1:17" x14ac:dyDescent="0.55000000000000004">
      <c r="B29" s="139"/>
      <c r="C29" s="139"/>
      <c r="D29" s="139"/>
      <c r="E29" s="139"/>
      <c r="F29" s="139"/>
      <c r="G29" s="139"/>
      <c r="H29" s="139"/>
      <c r="I29" s="139"/>
      <c r="J29" s="139"/>
      <c r="K29" s="139"/>
      <c r="L29" s="139"/>
    </row>
  </sheetData>
  <mergeCells count="2">
    <mergeCell ref="B20:L21"/>
    <mergeCell ref="B28:L29"/>
  </mergeCells>
  <printOptions horizontalCentered="1"/>
  <pageMargins left="0.7" right="0.7" top="0.75" bottom="0.75"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7F79-6754-4837-8529-AA316ADA5710}">
  <sheetPr>
    <pageSetUpPr fitToPage="1"/>
  </sheetPr>
  <dimension ref="A1:U31"/>
  <sheetViews>
    <sheetView rightToLeft="1" view="pageBreakPreview" topLeftCell="A13" zoomScaleNormal="100" zoomScaleSheetLayoutView="100" workbookViewId="0">
      <selection activeCell="T14" sqref="T14"/>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7" width="13.28515625" style="9" bestFit="1" customWidth="1"/>
    <col min="8" max="8" width="12.85546875" style="9" bestFit="1" customWidth="1"/>
    <col min="9" max="9" width="1.7109375" style="1" customWidth="1"/>
    <col min="10" max="10" width="18.85546875" style="10" bestFit="1" customWidth="1"/>
    <col min="11" max="11" width="1.7109375" style="1" customWidth="1"/>
    <col min="12" max="12" width="20.28515625" style="1" customWidth="1"/>
    <col min="13" max="13" width="1.7109375" style="1" customWidth="1"/>
    <col min="14" max="14" width="9.140625" style="1"/>
    <col min="15" max="15" width="12.5703125" style="1" hidden="1" customWidth="1"/>
    <col min="16" max="16" width="9.140625" style="1"/>
    <col min="17" max="17" width="12.85546875" style="26" bestFit="1" customWidth="1"/>
    <col min="18" max="18" width="9.140625" style="1"/>
    <col min="19" max="19" width="11.7109375" style="1" bestFit="1" customWidth="1"/>
    <col min="20" max="20" width="12.85546875" style="1" bestFit="1" customWidth="1"/>
    <col min="21" max="16384" width="9.140625" style="1"/>
  </cols>
  <sheetData>
    <row r="1" spans="2:21" ht="27" x14ac:dyDescent="0.55000000000000004">
      <c r="B1" s="8" t="s">
        <v>19</v>
      </c>
      <c r="L1" s="11" t="s">
        <v>21</v>
      </c>
    </row>
    <row r="2" spans="2:21" ht="27" x14ac:dyDescent="0.55000000000000004">
      <c r="B2" s="8" t="s">
        <v>5</v>
      </c>
      <c r="L2" s="11" t="s">
        <v>45</v>
      </c>
    </row>
    <row r="3" spans="2:21" ht="27" x14ac:dyDescent="0.55000000000000004">
      <c r="B3" s="12" t="s">
        <v>20</v>
      </c>
      <c r="C3" s="2"/>
      <c r="D3" s="2"/>
      <c r="E3" s="2"/>
      <c r="F3" s="2"/>
      <c r="G3" s="13"/>
      <c r="H3" s="13"/>
      <c r="I3" s="2"/>
      <c r="J3" s="14"/>
      <c r="K3" s="2"/>
      <c r="L3" s="15" t="s">
        <v>46</v>
      </c>
    </row>
    <row r="4" spans="2:21" ht="5.0999999999999996" customHeight="1" x14ac:dyDescent="0.55000000000000004"/>
    <row r="5" spans="2:21" s="3" customFormat="1" ht="43.5" x14ac:dyDescent="0.25">
      <c r="G5" s="16"/>
      <c r="H5" s="17" t="s">
        <v>1</v>
      </c>
      <c r="J5" s="18" t="s">
        <v>4</v>
      </c>
      <c r="L5" s="20" t="s">
        <v>0</v>
      </c>
      <c r="Q5" s="30"/>
    </row>
    <row r="6" spans="2:21" s="4" customFormat="1" ht="21.75" x14ac:dyDescent="0.6">
      <c r="B6" s="4" t="s">
        <v>3</v>
      </c>
      <c r="G6" s="21"/>
      <c r="H6" s="124">
        <f>6354.28+5443.86+22802.4</f>
        <v>34600.54</v>
      </c>
      <c r="J6" s="22"/>
      <c r="L6" s="124">
        <f>L8/109%</f>
        <v>10371010576.43321</v>
      </c>
      <c r="Q6" s="27"/>
    </row>
    <row r="7" spans="2:21" s="4" customFormat="1" ht="21.75" x14ac:dyDescent="0.6">
      <c r="B7" s="4" t="s">
        <v>2</v>
      </c>
      <c r="G7" s="21"/>
      <c r="H7" s="127">
        <f>(H6*9%)+0.0136000000020431</f>
        <v>3114.0622000000021</v>
      </c>
      <c r="J7" s="22"/>
      <c r="L7" s="125">
        <f>L6*9%</f>
        <v>933390951.87898886</v>
      </c>
      <c r="Q7" s="27"/>
      <c r="S7" s="31"/>
    </row>
    <row r="8" spans="2:21" s="5" customFormat="1" ht="24" x14ac:dyDescent="0.7">
      <c r="B8" s="5" t="s">
        <v>8</v>
      </c>
      <c r="G8" s="23"/>
      <c r="H8" s="126">
        <f>SUM(H6:H7)</f>
        <v>37714.602200000001</v>
      </c>
      <c r="J8" s="73"/>
      <c r="L8" s="126">
        <f>L16+L14</f>
        <v>11304401528.312201</v>
      </c>
      <c r="Q8" s="28"/>
      <c r="S8" s="29"/>
    </row>
    <row r="9" spans="2:21" s="4" customFormat="1" ht="21.75" x14ac:dyDescent="0.6">
      <c r="G9" s="21"/>
      <c r="H9" s="21"/>
      <c r="J9" s="22"/>
      <c r="L9" s="22"/>
      <c r="Q9" s="27"/>
    </row>
    <row r="10" spans="2:21" s="4" customFormat="1" ht="24" x14ac:dyDescent="0.7">
      <c r="B10" s="5" t="s">
        <v>6</v>
      </c>
      <c r="G10" s="21"/>
      <c r="H10" s="21"/>
      <c r="J10" s="22"/>
      <c r="L10" s="22"/>
      <c r="Q10" s="27"/>
    </row>
    <row r="11" spans="2:21" s="4" customFormat="1" ht="21.75" x14ac:dyDescent="0.6">
      <c r="B11" s="4" t="s">
        <v>32</v>
      </c>
      <c r="F11" s="31"/>
      <c r="G11" s="21"/>
      <c r="H11" s="128">
        <f>H24+H26+H27</f>
        <v>0</v>
      </c>
      <c r="I11" s="32"/>
      <c r="J11" s="105">
        <f>J24</f>
        <v>290271</v>
      </c>
      <c r="K11" s="24"/>
      <c r="L11" s="128">
        <f>H11*J11</f>
        <v>0</v>
      </c>
      <c r="O11" s="25"/>
      <c r="Q11" s="27">
        <f>'ف 342'!H11+'ف 423'!H11</f>
        <v>124429.80000000005</v>
      </c>
      <c r="T11" s="27"/>
    </row>
    <row r="12" spans="2:21" s="4" customFormat="1" ht="21.75" x14ac:dyDescent="0.6">
      <c r="B12" s="4" t="s">
        <v>33</v>
      </c>
      <c r="F12" s="31"/>
      <c r="G12" s="21"/>
      <c r="H12" s="125">
        <f>H25+H28</f>
        <v>19658.330000000009</v>
      </c>
      <c r="I12" s="32"/>
      <c r="J12" s="106">
        <f>J25</f>
        <v>294059</v>
      </c>
      <c r="K12" s="24"/>
      <c r="L12" s="125">
        <f>H12*J12</f>
        <v>5780708861.4700031</v>
      </c>
      <c r="O12" s="25"/>
      <c r="Q12" s="27"/>
      <c r="T12" s="27"/>
    </row>
    <row r="13" spans="2:21" s="4" customFormat="1" ht="21.75" x14ac:dyDescent="0.6">
      <c r="F13" s="31"/>
      <c r="G13" s="21"/>
      <c r="H13" s="128"/>
      <c r="I13" s="32"/>
      <c r="J13" s="106"/>
      <c r="K13" s="24"/>
      <c r="L13" s="128"/>
      <c r="O13" s="25"/>
      <c r="Q13" s="27"/>
      <c r="T13" s="27"/>
    </row>
    <row r="14" spans="2:21" s="5" customFormat="1" ht="24" x14ac:dyDescent="0.7">
      <c r="B14" s="5" t="s">
        <v>9</v>
      </c>
      <c r="G14" s="23"/>
      <c r="H14" s="126">
        <f>H6*30%+0.00200000000040745</f>
        <v>10380.164000000001</v>
      </c>
      <c r="J14" s="106">
        <v>294059</v>
      </c>
      <c r="L14" s="126">
        <f>H14*J14</f>
        <v>3052380645.6760001</v>
      </c>
      <c r="Q14" s="28"/>
      <c r="R14" s="29"/>
      <c r="T14" s="28">
        <v>43140.59</v>
      </c>
      <c r="U14" s="29">
        <v>2.0000000004074502E-3</v>
      </c>
    </row>
    <row r="15" spans="2:21" s="4" customFormat="1" ht="21.75" x14ac:dyDescent="0.6">
      <c r="G15" s="21"/>
      <c r="H15" s="124"/>
      <c r="J15" s="105"/>
      <c r="L15" s="124"/>
      <c r="Q15" s="27"/>
      <c r="T15" s="27"/>
    </row>
    <row r="16" spans="2:21" s="5" customFormat="1" ht="24.75" thickBot="1" x14ac:dyDescent="0.75">
      <c r="B16" s="5" t="s">
        <v>18</v>
      </c>
      <c r="G16" s="23"/>
      <c r="H16" s="129">
        <f>H8-H14</f>
        <v>27334.438200000001</v>
      </c>
      <c r="J16" s="105">
        <v>301891</v>
      </c>
      <c r="L16" s="129">
        <f>H16*J16</f>
        <v>8252020882.6362</v>
      </c>
      <c r="M16" s="7"/>
      <c r="N16" s="6"/>
      <c r="Q16" s="28"/>
    </row>
    <row r="17" spans="1:17" s="5" customFormat="1" ht="24.75" thickTop="1" x14ac:dyDescent="0.7">
      <c r="G17" s="23"/>
      <c r="H17" s="33"/>
      <c r="J17" s="21"/>
      <c r="L17" s="34"/>
      <c r="M17" s="7"/>
      <c r="N17" s="6"/>
      <c r="Q17" s="28"/>
    </row>
    <row r="19" spans="1:17" s="48" customFormat="1" ht="23.25" x14ac:dyDescent="0.7">
      <c r="B19" s="48" t="s">
        <v>23</v>
      </c>
      <c r="G19" s="49"/>
      <c r="H19" s="49"/>
      <c r="J19" s="50"/>
      <c r="Q19" s="51"/>
    </row>
    <row r="20" spans="1:17" s="37" customFormat="1" ht="24.95" customHeight="1" x14ac:dyDescent="0.6">
      <c r="A20" s="35"/>
      <c r="B20" s="52" t="s">
        <v>42</v>
      </c>
      <c r="C20" s="36"/>
      <c r="D20" s="36"/>
      <c r="E20" s="36"/>
      <c r="F20" s="36"/>
      <c r="G20" s="36"/>
      <c r="H20" s="36"/>
      <c r="I20" s="36"/>
      <c r="J20" s="36"/>
      <c r="K20" s="36"/>
      <c r="L20" s="36"/>
      <c r="Q20" s="38"/>
    </row>
    <row r="21" spans="1:17" s="37" customFormat="1" ht="24.95" customHeight="1" x14ac:dyDescent="0.6">
      <c r="A21" s="35"/>
      <c r="B21" s="139" t="s">
        <v>43</v>
      </c>
      <c r="C21" s="139"/>
      <c r="D21" s="139"/>
      <c r="E21" s="139"/>
      <c r="F21" s="139"/>
      <c r="G21" s="139"/>
      <c r="H21" s="139"/>
      <c r="I21" s="139"/>
      <c r="J21" s="139"/>
      <c r="K21" s="139"/>
      <c r="L21" s="139"/>
      <c r="Q21" s="38"/>
    </row>
    <row r="22" spans="1:17" s="37" customFormat="1" ht="24.95" customHeight="1" x14ac:dyDescent="0.6">
      <c r="A22" s="35"/>
      <c r="B22" s="139"/>
      <c r="C22" s="139"/>
      <c r="D22" s="139"/>
      <c r="E22" s="139"/>
      <c r="F22" s="139"/>
      <c r="G22" s="139"/>
      <c r="H22" s="139"/>
      <c r="I22" s="139"/>
      <c r="J22" s="139"/>
      <c r="K22" s="139"/>
      <c r="L22" s="139"/>
      <c r="Q22" s="38"/>
    </row>
    <row r="23" spans="1:17" s="39" customFormat="1" ht="21" x14ac:dyDescent="0.6">
      <c r="G23" s="39" t="s">
        <v>15</v>
      </c>
      <c r="H23" s="39" t="s">
        <v>12</v>
      </c>
      <c r="J23" s="39" t="s">
        <v>13</v>
      </c>
      <c r="L23" s="39" t="s">
        <v>0</v>
      </c>
      <c r="Q23" s="40"/>
    </row>
    <row r="24" spans="1:17" s="37" customFormat="1" ht="21" x14ac:dyDescent="0.6">
      <c r="B24" s="37" t="s">
        <v>16</v>
      </c>
      <c r="G24" s="41" t="s">
        <v>10</v>
      </c>
      <c r="H24" s="115">
        <v>124429.8</v>
      </c>
      <c r="J24" s="88">
        <v>290271</v>
      </c>
      <c r="L24" s="115">
        <f>H24*J24</f>
        <v>36118362475.800003</v>
      </c>
      <c r="Q24" s="38"/>
    </row>
    <row r="25" spans="1:17" s="37" customFormat="1" ht="21" x14ac:dyDescent="0.6">
      <c r="B25" s="37" t="s">
        <v>17</v>
      </c>
      <c r="G25" s="41" t="s">
        <v>11</v>
      </c>
      <c r="H25" s="116">
        <v>34391.1</v>
      </c>
      <c r="J25" s="88">
        <v>294059</v>
      </c>
      <c r="L25" s="116">
        <f>H25*J25</f>
        <v>10113012474.9</v>
      </c>
      <c r="Q25" s="38"/>
    </row>
    <row r="26" spans="1:17" s="37" customFormat="1" ht="21" x14ac:dyDescent="0.6">
      <c r="B26" s="37" t="s">
        <v>31</v>
      </c>
      <c r="G26" s="41"/>
      <c r="H26" s="116">
        <v>-96021.98</v>
      </c>
      <c r="J26" s="88">
        <v>290271</v>
      </c>
      <c r="L26" s="115">
        <f>H26*J26</f>
        <v>-27872396156.579998</v>
      </c>
      <c r="Q26" s="38"/>
    </row>
    <row r="27" spans="1:17" s="37" customFormat="1" ht="21" x14ac:dyDescent="0.6">
      <c r="B27" s="37" t="s">
        <v>36</v>
      </c>
      <c r="G27" s="41"/>
      <c r="H27" s="116">
        <v>-28407.820000000007</v>
      </c>
      <c r="J27" s="88">
        <v>290271</v>
      </c>
      <c r="L27" s="115">
        <f>H27*J27</f>
        <v>-8245966319.2200022</v>
      </c>
      <c r="Q27" s="38"/>
    </row>
    <row r="28" spans="1:17" s="37" customFormat="1" ht="21" x14ac:dyDescent="0.6">
      <c r="B28" s="37" t="s">
        <v>36</v>
      </c>
      <c r="G28" s="41"/>
      <c r="H28" s="116">
        <v>-14732.76999999999</v>
      </c>
      <c r="J28" s="88">
        <v>294059</v>
      </c>
      <c r="L28" s="115">
        <f>H28*J28</f>
        <v>-4332303613.4299965</v>
      </c>
      <c r="Q28" s="38"/>
    </row>
    <row r="29" spans="1:17" s="37" customFormat="1" ht="21.75" thickBot="1" x14ac:dyDescent="0.65">
      <c r="B29" s="37" t="s">
        <v>39</v>
      </c>
      <c r="G29" s="41"/>
      <c r="H29" s="117">
        <f>SUM(H24:H28)</f>
        <v>19658.330000000002</v>
      </c>
      <c r="J29" s="54"/>
      <c r="L29" s="118">
        <f>SUM(L24:L28)</f>
        <v>5780708861.4700089</v>
      </c>
      <c r="Q29" s="38"/>
    </row>
    <row r="30" spans="1:17" s="37" customFormat="1" ht="21.75" thickTop="1" x14ac:dyDescent="0.6">
      <c r="G30" s="41"/>
      <c r="H30" s="74"/>
      <c r="J30" s="54"/>
      <c r="L30" s="75"/>
      <c r="Q30" s="38"/>
    </row>
    <row r="31" spans="1:17" x14ac:dyDescent="0.55000000000000004">
      <c r="B31" s="1" t="s">
        <v>50</v>
      </c>
      <c r="D31" s="26"/>
      <c r="E31" s="26"/>
    </row>
  </sheetData>
  <mergeCells count="1">
    <mergeCell ref="B21:L22"/>
  </mergeCells>
  <printOptions horizontalCentered="1"/>
  <pageMargins left="0.7" right="0.7" top="0.75" bottom="0.75"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B951-1606-4B67-BD7B-B45BE12774F5}">
  <sheetPr>
    <pageSetUpPr fitToPage="1"/>
  </sheetPr>
  <dimension ref="A1:U32"/>
  <sheetViews>
    <sheetView rightToLeft="1" view="pageBreakPreview" topLeftCell="A16" zoomScaleNormal="100" zoomScaleSheetLayoutView="100" workbookViewId="0">
      <selection activeCell="Q28" sqref="Q28"/>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7" width="13.28515625" style="9" bestFit="1" customWidth="1"/>
    <col min="8" max="8" width="12.85546875" style="9" bestFit="1" customWidth="1"/>
    <col min="9" max="9" width="1.7109375" style="1" customWidth="1"/>
    <col min="10" max="10" width="18.85546875" style="10" bestFit="1" customWidth="1"/>
    <col min="11" max="11" width="1.7109375" style="1" customWidth="1"/>
    <col min="12" max="12" width="20.28515625" style="1" customWidth="1"/>
    <col min="13" max="13" width="1.7109375" style="1" customWidth="1"/>
    <col min="14" max="14" width="9.140625" style="1"/>
    <col min="15" max="15" width="12.5703125" style="1" hidden="1" customWidth="1"/>
    <col min="16" max="16" width="16.85546875" style="1" bestFit="1" customWidth="1"/>
    <col min="17" max="17" width="12.85546875" style="26" bestFit="1" customWidth="1"/>
    <col min="18" max="18" width="10.42578125" style="1" bestFit="1" customWidth="1"/>
    <col min="19" max="19" width="11.7109375" style="1" bestFit="1" customWidth="1"/>
    <col min="20" max="20" width="12.85546875" style="1" bestFit="1" customWidth="1"/>
    <col min="21" max="16384" width="9.140625" style="1"/>
  </cols>
  <sheetData>
    <row r="1" spans="2:21" ht="27" x14ac:dyDescent="0.55000000000000004">
      <c r="B1" s="8" t="s">
        <v>19</v>
      </c>
      <c r="L1" s="11" t="s">
        <v>21</v>
      </c>
    </row>
    <row r="2" spans="2:21" ht="27" x14ac:dyDescent="0.55000000000000004">
      <c r="B2" s="8" t="s">
        <v>5</v>
      </c>
      <c r="L2" s="11" t="s">
        <v>47</v>
      </c>
    </row>
    <row r="3" spans="2:21" ht="27" x14ac:dyDescent="0.55000000000000004">
      <c r="B3" s="12" t="s">
        <v>20</v>
      </c>
      <c r="C3" s="2"/>
      <c r="D3" s="2"/>
      <c r="E3" s="2"/>
      <c r="F3" s="2"/>
      <c r="G3" s="13"/>
      <c r="H3" s="13"/>
      <c r="I3" s="2"/>
      <c r="J3" s="14"/>
      <c r="K3" s="2"/>
      <c r="L3" s="15" t="s">
        <v>46</v>
      </c>
    </row>
    <row r="4" spans="2:21" ht="5.0999999999999996" customHeight="1" x14ac:dyDescent="0.55000000000000004"/>
    <row r="5" spans="2:21" s="3" customFormat="1" ht="43.5" x14ac:dyDescent="0.25">
      <c r="G5" s="16"/>
      <c r="H5" s="17" t="s">
        <v>1</v>
      </c>
      <c r="J5" s="18" t="s">
        <v>4</v>
      </c>
      <c r="L5" s="20" t="s">
        <v>0</v>
      </c>
      <c r="Q5" s="30"/>
    </row>
    <row r="6" spans="2:21" s="4" customFormat="1" ht="21.75" x14ac:dyDescent="0.6">
      <c r="B6" s="4" t="s">
        <v>3</v>
      </c>
      <c r="G6" s="21"/>
      <c r="H6" s="100">
        <f>24661.54+6266.13+31056.86</f>
        <v>61984.53</v>
      </c>
      <c r="I6" s="3"/>
      <c r="J6" s="19"/>
      <c r="K6" s="3"/>
      <c r="L6" s="100">
        <f>L8/109%</f>
        <v>20323874674.185593</v>
      </c>
      <c r="P6" s="71">
        <f>H6+'پ ف 3'!H6+'ف 423'!H6+'ف 342'!H6</f>
        <v>560460.43000000005</v>
      </c>
      <c r="Q6" s="27">
        <v>560486.36</v>
      </c>
      <c r="R6" s="71">
        <f>Q6-P6</f>
        <v>25.929999999934807</v>
      </c>
    </row>
    <row r="7" spans="2:21" s="4" customFormat="1" ht="21.75" x14ac:dyDescent="0.6">
      <c r="B7" s="4" t="s">
        <v>2</v>
      </c>
      <c r="G7" s="21"/>
      <c r="H7" s="101">
        <f>(H6*9%)+0.0136000000020431</f>
        <v>5578.6213000000016</v>
      </c>
      <c r="I7" s="3"/>
      <c r="J7" s="19"/>
      <c r="K7" s="3"/>
      <c r="L7" s="102">
        <f>L6*9%</f>
        <v>1829148720.6767032</v>
      </c>
      <c r="P7" s="71">
        <f>H7+'پ ف 3'!H7+'ف 423'!H7+'ف 342'!H7</f>
        <v>50441.453500000003</v>
      </c>
      <c r="Q7" s="27"/>
      <c r="S7" s="31"/>
    </row>
    <row r="8" spans="2:21" s="5" customFormat="1" ht="24" x14ac:dyDescent="0.7">
      <c r="B8" s="5" t="s">
        <v>8</v>
      </c>
      <c r="G8" s="23"/>
      <c r="H8" s="103">
        <f>SUM(H6:H7)</f>
        <v>67563.151299999998</v>
      </c>
      <c r="I8" s="60"/>
      <c r="J8" s="80"/>
      <c r="K8" s="60"/>
      <c r="L8" s="103">
        <f>L16+L14</f>
        <v>22153023394.862297</v>
      </c>
      <c r="P8" s="76">
        <f>SUM(P6:P7)</f>
        <v>610901.8835</v>
      </c>
      <c r="Q8" s="28"/>
      <c r="S8" s="29"/>
    </row>
    <row r="9" spans="2:21" s="4" customFormat="1" ht="21.75" x14ac:dyDescent="0.6">
      <c r="G9" s="21"/>
      <c r="H9" s="100"/>
      <c r="I9" s="3"/>
      <c r="J9" s="19"/>
      <c r="K9" s="3"/>
      <c r="L9" s="100"/>
      <c r="Q9" s="27"/>
    </row>
    <row r="10" spans="2:21" s="4" customFormat="1" ht="24" x14ac:dyDescent="0.7">
      <c r="B10" s="5" t="s">
        <v>6</v>
      </c>
      <c r="G10" s="21"/>
      <c r="H10" s="100"/>
      <c r="I10" s="3"/>
      <c r="J10" s="19"/>
      <c r="K10" s="3"/>
      <c r="L10" s="100"/>
      <c r="Q10" s="27"/>
    </row>
    <row r="11" spans="2:21" s="4" customFormat="1" ht="21.75" x14ac:dyDescent="0.6">
      <c r="B11" s="4" t="s">
        <v>32</v>
      </c>
      <c r="F11" s="31"/>
      <c r="G11" s="21"/>
      <c r="H11" s="104">
        <f>H24+H26+H27</f>
        <v>0</v>
      </c>
      <c r="I11" s="53"/>
      <c r="J11" s="105">
        <f>J24</f>
        <v>290271</v>
      </c>
      <c r="K11" s="62"/>
      <c r="L11" s="104">
        <f>H11*J11</f>
        <v>0</v>
      </c>
      <c r="O11" s="25"/>
      <c r="P11" s="31">
        <f>-H24</f>
        <v>-124429.8</v>
      </c>
      <c r="Q11" s="27">
        <f>'پ ف 3'!H12-'پ ف 3'!H14-'ف 423'!H12</f>
        <v>-5454.6039999999812</v>
      </c>
      <c r="T11" s="27"/>
    </row>
    <row r="12" spans="2:21" s="4" customFormat="1" ht="21.75" x14ac:dyDescent="0.6">
      <c r="B12" s="4" t="s">
        <v>33</v>
      </c>
      <c r="F12" s="31"/>
      <c r="G12" s="21"/>
      <c r="H12" s="102">
        <f>H25+H28+H29</f>
        <v>9278.1700000000092</v>
      </c>
      <c r="I12" s="53"/>
      <c r="J12" s="106">
        <f>J25</f>
        <v>294059</v>
      </c>
      <c r="K12" s="62"/>
      <c r="L12" s="102">
        <f>H12*J12</f>
        <v>2728329392.0300026</v>
      </c>
      <c r="O12" s="25"/>
      <c r="P12" s="31">
        <f>-H25</f>
        <v>-34391.1</v>
      </c>
      <c r="Q12" s="27"/>
      <c r="T12" s="27"/>
    </row>
    <row r="13" spans="2:21" s="4" customFormat="1" ht="21.75" x14ac:dyDescent="0.6">
      <c r="F13" s="31"/>
      <c r="G13" s="21"/>
      <c r="H13" s="104"/>
      <c r="I13" s="53"/>
      <c r="J13" s="106"/>
      <c r="K13" s="62"/>
      <c r="L13" s="104"/>
      <c r="O13" s="25"/>
      <c r="Q13" s="27"/>
      <c r="T13" s="27"/>
    </row>
    <row r="14" spans="2:21" s="5" customFormat="1" ht="24" x14ac:dyDescent="0.7">
      <c r="B14" s="5" t="s">
        <v>9</v>
      </c>
      <c r="G14" s="23"/>
      <c r="H14" s="103">
        <v>9278.17</v>
      </c>
      <c r="I14" s="60"/>
      <c r="J14" s="106">
        <v>294059</v>
      </c>
      <c r="K14" s="60"/>
      <c r="L14" s="103">
        <f>H14*J14</f>
        <v>2728329392.0300002</v>
      </c>
      <c r="Q14" s="28"/>
      <c r="R14" s="29"/>
      <c r="T14" s="28">
        <v>43140.59</v>
      </c>
      <c r="U14" s="29">
        <v>2.0000000004074502E-3</v>
      </c>
    </row>
    <row r="15" spans="2:21" s="4" customFormat="1" ht="21.75" x14ac:dyDescent="0.6">
      <c r="G15" s="21"/>
      <c r="H15" s="100"/>
      <c r="I15" s="3"/>
      <c r="J15" s="105"/>
      <c r="K15" s="3"/>
      <c r="L15" s="100"/>
      <c r="Q15" s="27"/>
      <c r="T15" s="27"/>
    </row>
    <row r="16" spans="2:21" s="5" customFormat="1" ht="24.75" thickBot="1" x14ac:dyDescent="0.75">
      <c r="B16" s="5" t="s">
        <v>18</v>
      </c>
      <c r="G16" s="23"/>
      <c r="H16" s="107">
        <f>H8-H14</f>
        <v>58284.981299999999</v>
      </c>
      <c r="I16" s="60"/>
      <c r="J16" s="105">
        <v>333271</v>
      </c>
      <c r="K16" s="60"/>
      <c r="L16" s="107">
        <f>H16*J16</f>
        <v>19424694002.832298</v>
      </c>
      <c r="M16" s="7"/>
      <c r="N16" s="6"/>
      <c r="P16" s="76">
        <f>P8+P11+P12</f>
        <v>452080.98350000003</v>
      </c>
      <c r="Q16" s="28"/>
    </row>
    <row r="17" spans="1:17" s="5" customFormat="1" ht="24.75" thickTop="1" x14ac:dyDescent="0.7">
      <c r="G17" s="23"/>
      <c r="H17" s="33"/>
      <c r="J17" s="21"/>
      <c r="L17" s="34"/>
      <c r="M17" s="7"/>
      <c r="N17" s="6"/>
      <c r="P17" s="76">
        <f>H16+'پ ف 3'!H16+'ف 423'!H15+'ف 342'!H14</f>
        <v>452080.97950000002</v>
      </c>
      <c r="Q17" s="28"/>
    </row>
    <row r="19" spans="1:17" s="48" customFormat="1" ht="23.25" x14ac:dyDescent="0.7">
      <c r="B19" s="48" t="s">
        <v>23</v>
      </c>
      <c r="G19" s="49"/>
      <c r="H19" s="49"/>
      <c r="J19" s="50"/>
      <c r="Q19" s="51"/>
    </row>
    <row r="20" spans="1:17" s="37" customFormat="1" ht="24.95" customHeight="1" x14ac:dyDescent="0.6">
      <c r="A20" s="35"/>
      <c r="B20" s="52" t="s">
        <v>41</v>
      </c>
      <c r="C20" s="36"/>
      <c r="D20" s="36"/>
      <c r="E20" s="36"/>
      <c r="F20" s="36"/>
      <c r="G20" s="36"/>
      <c r="H20" s="36"/>
      <c r="I20" s="36"/>
      <c r="J20" s="36"/>
      <c r="K20" s="36"/>
      <c r="L20" s="36"/>
      <c r="Q20" s="38"/>
    </row>
    <row r="21" spans="1:17" s="37" customFormat="1" ht="24.95" customHeight="1" x14ac:dyDescent="0.6">
      <c r="A21" s="35"/>
      <c r="B21" s="139" t="s">
        <v>44</v>
      </c>
      <c r="C21" s="139"/>
      <c r="D21" s="139"/>
      <c r="E21" s="139"/>
      <c r="F21" s="139"/>
      <c r="G21" s="139"/>
      <c r="H21" s="139"/>
      <c r="I21" s="139"/>
      <c r="J21" s="139"/>
      <c r="K21" s="139"/>
      <c r="L21" s="139"/>
      <c r="Q21" s="38"/>
    </row>
    <row r="22" spans="1:17" s="37" customFormat="1" ht="24.95" customHeight="1" x14ac:dyDescent="0.6">
      <c r="A22" s="35"/>
      <c r="B22" s="139"/>
      <c r="C22" s="139"/>
      <c r="D22" s="139"/>
      <c r="E22" s="139"/>
      <c r="F22" s="139"/>
      <c r="G22" s="139"/>
      <c r="H22" s="139"/>
      <c r="I22" s="139"/>
      <c r="J22" s="139"/>
      <c r="K22" s="139"/>
      <c r="L22" s="139"/>
      <c r="Q22" s="38"/>
    </row>
    <row r="23" spans="1:17" s="39" customFormat="1" ht="21" x14ac:dyDescent="0.6">
      <c r="G23" s="39" t="s">
        <v>15</v>
      </c>
      <c r="H23" s="39" t="s">
        <v>12</v>
      </c>
      <c r="J23" s="39" t="s">
        <v>13</v>
      </c>
      <c r="L23" s="39" t="s">
        <v>0</v>
      </c>
      <c r="Q23" s="40"/>
    </row>
    <row r="24" spans="1:17" s="37" customFormat="1" ht="21" x14ac:dyDescent="0.6">
      <c r="B24" s="37" t="s">
        <v>16</v>
      </c>
      <c r="G24" s="41" t="s">
        <v>10</v>
      </c>
      <c r="H24" s="108">
        <v>124429.8</v>
      </c>
      <c r="I24" s="109"/>
      <c r="J24" s="110">
        <v>290271</v>
      </c>
      <c r="K24" s="109"/>
      <c r="L24" s="108">
        <f t="shared" ref="L24:L29" si="0">H24*J24</f>
        <v>36118362475.800003</v>
      </c>
      <c r="Q24" s="38"/>
    </row>
    <row r="25" spans="1:17" s="37" customFormat="1" ht="21" x14ac:dyDescent="0.6">
      <c r="B25" s="37" t="s">
        <v>17</v>
      </c>
      <c r="G25" s="41" t="s">
        <v>11</v>
      </c>
      <c r="H25" s="111">
        <v>34391.1</v>
      </c>
      <c r="I25" s="109"/>
      <c r="J25" s="110">
        <v>294059</v>
      </c>
      <c r="K25" s="109"/>
      <c r="L25" s="111">
        <f t="shared" si="0"/>
        <v>10113012474.9</v>
      </c>
      <c r="Q25" s="38"/>
    </row>
    <row r="26" spans="1:17" s="37" customFormat="1" ht="21" x14ac:dyDescent="0.6">
      <c r="B26" s="37" t="s">
        <v>31</v>
      </c>
      <c r="G26" s="41"/>
      <c r="H26" s="111">
        <v>-96021.98</v>
      </c>
      <c r="I26" s="109"/>
      <c r="J26" s="110">
        <v>290271</v>
      </c>
      <c r="K26" s="109"/>
      <c r="L26" s="108">
        <f t="shared" si="0"/>
        <v>-27872396156.579998</v>
      </c>
      <c r="Q26" s="38"/>
    </row>
    <row r="27" spans="1:17" s="37" customFormat="1" ht="21" x14ac:dyDescent="0.6">
      <c r="B27" s="37" t="s">
        <v>36</v>
      </c>
      <c r="G27" s="41"/>
      <c r="H27" s="111">
        <v>-28407.820000000007</v>
      </c>
      <c r="I27" s="109"/>
      <c r="J27" s="110">
        <v>290271</v>
      </c>
      <c r="K27" s="109"/>
      <c r="L27" s="108">
        <f t="shared" si="0"/>
        <v>-8245966319.2200022</v>
      </c>
      <c r="Q27" s="38"/>
    </row>
    <row r="28" spans="1:17" s="37" customFormat="1" ht="21" x14ac:dyDescent="0.6">
      <c r="B28" s="37" t="s">
        <v>36</v>
      </c>
      <c r="G28" s="41"/>
      <c r="H28" s="111">
        <v>-14732.76999999999</v>
      </c>
      <c r="I28" s="109"/>
      <c r="J28" s="110">
        <v>294059</v>
      </c>
      <c r="K28" s="109"/>
      <c r="L28" s="108">
        <f t="shared" si="0"/>
        <v>-4332303613.4299965</v>
      </c>
      <c r="Q28" s="38"/>
    </row>
    <row r="29" spans="1:17" s="37" customFormat="1" ht="21" x14ac:dyDescent="0.6">
      <c r="B29" s="37" t="s">
        <v>37</v>
      </c>
      <c r="G29" s="41"/>
      <c r="H29" s="111">
        <v>-10380.16</v>
      </c>
      <c r="I29" s="109"/>
      <c r="J29" s="110">
        <v>294059</v>
      </c>
      <c r="K29" s="109"/>
      <c r="L29" s="108">
        <f t="shared" si="0"/>
        <v>-3052379469.4400001</v>
      </c>
      <c r="Q29" s="38"/>
    </row>
    <row r="30" spans="1:17" s="37" customFormat="1" ht="21.75" thickBot="1" x14ac:dyDescent="0.65">
      <c r="B30" s="37" t="s">
        <v>40</v>
      </c>
      <c r="G30" s="41"/>
      <c r="H30" s="112">
        <f>SUM(H24:H29)</f>
        <v>9278.1700000000019</v>
      </c>
      <c r="I30" s="109"/>
      <c r="J30" s="113"/>
      <c r="K30" s="109"/>
      <c r="L30" s="114">
        <f>SUM(L24:L29)</f>
        <v>2728329392.0300088</v>
      </c>
      <c r="Q30" s="38"/>
    </row>
    <row r="31" spans="1:17" s="37" customFormat="1" ht="21.75" thickTop="1" x14ac:dyDescent="0.6">
      <c r="G31" s="41"/>
      <c r="H31" s="74"/>
      <c r="J31" s="54"/>
      <c r="L31" s="75"/>
      <c r="Q31" s="38"/>
    </row>
    <row r="32" spans="1:17" x14ac:dyDescent="0.55000000000000004">
      <c r="B32" s="1" t="s">
        <v>49</v>
      </c>
      <c r="D32" s="26"/>
      <c r="E32" s="26"/>
    </row>
  </sheetData>
  <mergeCells count="1">
    <mergeCell ref="B21:L22"/>
  </mergeCells>
  <printOptions horizontalCentered="1"/>
  <pageMargins left="0.7" right="0.7" top="0.75" bottom="0.75" header="0.3" footer="0.3"/>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CCE76-4F20-4F1B-A4A8-54DECAD1F43B}">
  <sheetPr>
    <pageSetUpPr fitToPage="1"/>
  </sheetPr>
  <dimension ref="A1:U33"/>
  <sheetViews>
    <sheetView rightToLeft="1" view="pageBreakPreview" topLeftCell="A7" zoomScaleNormal="100" zoomScaleSheetLayoutView="100" workbookViewId="0">
      <selection activeCell="J16" sqref="J16"/>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7" width="13.28515625" style="9" bestFit="1" customWidth="1"/>
    <col min="8" max="8" width="12.85546875" style="81" bestFit="1" customWidth="1"/>
    <col min="9" max="9" width="1.7109375" style="1" customWidth="1"/>
    <col min="10" max="10" width="18.85546875" style="58" bestFit="1" customWidth="1"/>
    <col min="11" max="11" width="1.7109375" style="1" customWidth="1"/>
    <col min="12" max="12" width="20.28515625" style="85" customWidth="1"/>
    <col min="13" max="13" width="1.7109375" style="1" customWidth="1"/>
    <col min="14" max="14" width="9.140625" style="1"/>
    <col min="15" max="15" width="12.5703125" style="1" hidden="1" customWidth="1"/>
    <col min="16" max="16" width="16.85546875" style="1" bestFit="1" customWidth="1"/>
    <col min="17" max="17" width="12.85546875" style="26" bestFit="1" customWidth="1"/>
    <col min="18" max="18" width="10.42578125" style="1" bestFit="1" customWidth="1"/>
    <col min="19" max="19" width="11.7109375" style="1" bestFit="1" customWidth="1"/>
    <col min="20" max="20" width="12.85546875" style="1" bestFit="1" customWidth="1"/>
    <col min="21" max="16384" width="9.140625" style="1"/>
  </cols>
  <sheetData>
    <row r="1" spans="2:21" ht="27" x14ac:dyDescent="0.55000000000000004">
      <c r="B1" s="8" t="s">
        <v>19</v>
      </c>
      <c r="L1" s="11" t="s">
        <v>21</v>
      </c>
    </row>
    <row r="2" spans="2:21" ht="27" x14ac:dyDescent="0.55000000000000004">
      <c r="B2" s="8" t="s">
        <v>5</v>
      </c>
      <c r="L2" s="11" t="s">
        <v>47</v>
      </c>
    </row>
    <row r="3" spans="2:21" ht="27" x14ac:dyDescent="0.55000000000000004">
      <c r="B3" s="12" t="s">
        <v>20</v>
      </c>
      <c r="C3" s="2"/>
      <c r="D3" s="2"/>
      <c r="E3" s="2"/>
      <c r="F3" s="2"/>
      <c r="G3" s="13"/>
      <c r="H3" s="82"/>
      <c r="I3" s="2"/>
      <c r="J3" s="79"/>
      <c r="K3" s="2"/>
      <c r="L3" s="15" t="s">
        <v>51</v>
      </c>
    </row>
    <row r="4" spans="2:21" ht="5.0999999999999996" customHeight="1" x14ac:dyDescent="0.55000000000000004"/>
    <row r="5" spans="2:21" s="3" customFormat="1" ht="43.5" x14ac:dyDescent="0.25">
      <c r="G5" s="16"/>
      <c r="H5" s="17" t="s">
        <v>1</v>
      </c>
      <c r="J5" s="18" t="s">
        <v>4</v>
      </c>
      <c r="L5" s="20" t="s">
        <v>0</v>
      </c>
      <c r="Q5" s="30"/>
    </row>
    <row r="6" spans="2:21" s="4" customFormat="1" ht="21.75" x14ac:dyDescent="0.6">
      <c r="B6" s="4" t="s">
        <v>3</v>
      </c>
      <c r="G6" s="21"/>
      <c r="H6" s="94">
        <f>11690+3576+1756.8+2325.3</f>
        <v>19348.099999999999</v>
      </c>
      <c r="J6" s="91"/>
      <c r="L6" s="94">
        <f>L8/109%</f>
        <v>8776826218.6332111</v>
      </c>
      <c r="P6" s="71">
        <f>H6+'پ ف 3'!H6+'ف 423'!H6+'ف 342'!H6</f>
        <v>517824</v>
      </c>
      <c r="Q6" s="27">
        <v>560486.36</v>
      </c>
      <c r="R6" s="71">
        <f>Q6-P6</f>
        <v>42662.359999999986</v>
      </c>
    </row>
    <row r="7" spans="2:21" s="4" customFormat="1" ht="21.75" x14ac:dyDescent="0.6">
      <c r="B7" s="4" t="s">
        <v>2</v>
      </c>
      <c r="G7" s="21"/>
      <c r="H7" s="95">
        <f>(H6*9%)+0.0136000000020431</f>
        <v>1741.3426000000018</v>
      </c>
      <c r="J7" s="91"/>
      <c r="L7" s="98">
        <f>L6*9%</f>
        <v>789914359.67698896</v>
      </c>
      <c r="P7" s="71">
        <f>H7+'پ ف 3'!H7+'ف 423'!H7+'ف 342'!H7</f>
        <v>46604.174800000008</v>
      </c>
      <c r="Q7" s="27"/>
      <c r="S7" s="31"/>
    </row>
    <row r="8" spans="2:21" s="5" customFormat="1" ht="24" x14ac:dyDescent="0.7">
      <c r="B8" s="5" t="s">
        <v>8</v>
      </c>
      <c r="G8" s="23"/>
      <c r="H8" s="96">
        <f>SUM(H6:H7)</f>
        <v>21089.442600000002</v>
      </c>
      <c r="J8" s="92"/>
      <c r="L8" s="96">
        <f>L16+L14</f>
        <v>9566740578.3102016</v>
      </c>
      <c r="P8" s="76">
        <f>SUM(P6:P7)</f>
        <v>564428.17480000004</v>
      </c>
      <c r="Q8" s="28"/>
      <c r="S8" s="29"/>
    </row>
    <row r="9" spans="2:21" s="4" customFormat="1" ht="21.75" x14ac:dyDescent="0.6">
      <c r="G9" s="21"/>
      <c r="H9" s="94"/>
      <c r="J9" s="91"/>
      <c r="L9" s="94"/>
      <c r="Q9" s="27"/>
    </row>
    <row r="10" spans="2:21" s="4" customFormat="1" ht="24" x14ac:dyDescent="0.7">
      <c r="B10" s="5" t="s">
        <v>6</v>
      </c>
      <c r="G10" s="21"/>
      <c r="H10" s="94"/>
      <c r="J10" s="91"/>
      <c r="L10" s="94"/>
      <c r="Q10" s="27"/>
    </row>
    <row r="11" spans="2:21" s="4" customFormat="1" ht="21.75" x14ac:dyDescent="0.6">
      <c r="B11" s="4" t="s">
        <v>32</v>
      </c>
      <c r="F11" s="31"/>
      <c r="G11" s="21"/>
      <c r="H11" s="97">
        <f>H24+H26+H27</f>
        <v>0</v>
      </c>
      <c r="I11" s="32"/>
      <c r="J11" s="91">
        <f>J24</f>
        <v>290271</v>
      </c>
      <c r="K11" s="24"/>
      <c r="L11" s="97">
        <f>H11*J11</f>
        <v>0</v>
      </c>
      <c r="O11" s="25"/>
      <c r="P11" s="31">
        <f>-H24</f>
        <v>-124429.8</v>
      </c>
      <c r="Q11" s="27">
        <f>'پ ف 3'!H12-'پ ف 3'!H14-'ف 423'!H12</f>
        <v>-5454.6039999999812</v>
      </c>
      <c r="T11" s="27"/>
    </row>
    <row r="12" spans="2:21" s="4" customFormat="1" ht="21.75" x14ac:dyDescent="0.6">
      <c r="B12" s="4" t="s">
        <v>33</v>
      </c>
      <c r="F12" s="31"/>
      <c r="G12" s="21"/>
      <c r="H12" s="98">
        <v>0</v>
      </c>
      <c r="I12" s="32"/>
      <c r="J12" s="93">
        <f>J25</f>
        <v>294059</v>
      </c>
      <c r="K12" s="24"/>
      <c r="L12" s="98">
        <f>H12*J12</f>
        <v>0</v>
      </c>
      <c r="O12" s="25"/>
      <c r="P12" s="31">
        <f>-H25</f>
        <v>-34391.1</v>
      </c>
      <c r="Q12" s="27"/>
      <c r="T12" s="27"/>
    </row>
    <row r="13" spans="2:21" s="4" customFormat="1" ht="21.75" x14ac:dyDescent="0.6">
      <c r="F13" s="31"/>
      <c r="G13" s="21"/>
      <c r="H13" s="97"/>
      <c r="I13" s="32"/>
      <c r="J13" s="93"/>
      <c r="K13" s="24"/>
      <c r="L13" s="97"/>
      <c r="O13" s="25"/>
      <c r="Q13" s="27"/>
      <c r="T13" s="27"/>
    </row>
    <row r="14" spans="2:21" s="5" customFormat="1" ht="24" x14ac:dyDescent="0.7">
      <c r="B14" s="5" t="s">
        <v>9</v>
      </c>
      <c r="G14" s="23"/>
      <c r="H14" s="96">
        <v>0</v>
      </c>
      <c r="J14" s="93"/>
      <c r="L14" s="96">
        <f>H14*J14</f>
        <v>0</v>
      </c>
      <c r="Q14" s="28"/>
      <c r="R14" s="29"/>
      <c r="T14" s="28">
        <v>43140.59</v>
      </c>
      <c r="U14" s="29">
        <v>2.0000000004074502E-3</v>
      </c>
    </row>
    <row r="15" spans="2:21" s="4" customFormat="1" ht="21.75" x14ac:dyDescent="0.6">
      <c r="G15" s="21"/>
      <c r="H15" s="94"/>
      <c r="J15" s="91"/>
      <c r="L15" s="94"/>
      <c r="Q15" s="27"/>
      <c r="T15" s="27"/>
    </row>
    <row r="16" spans="2:21" s="5" customFormat="1" ht="24.75" thickBot="1" x14ac:dyDescent="0.75">
      <c r="B16" s="5" t="s">
        <v>18</v>
      </c>
      <c r="G16" s="23"/>
      <c r="H16" s="99">
        <f>H8-H14</f>
        <v>21089.442600000002</v>
      </c>
      <c r="J16" s="91">
        <v>453627</v>
      </c>
      <c r="L16" s="99">
        <f>H16*J16</f>
        <v>9566740578.3102016</v>
      </c>
      <c r="M16" s="7"/>
      <c r="N16" s="6"/>
      <c r="P16" s="76">
        <f>P8+P11+P12</f>
        <v>405607.27480000007</v>
      </c>
      <c r="Q16" s="28"/>
    </row>
    <row r="17" spans="1:17" s="5" customFormat="1" ht="24.75" thickTop="1" x14ac:dyDescent="0.7">
      <c r="G17" s="23"/>
      <c r="H17" s="83"/>
      <c r="J17" s="16"/>
      <c r="L17" s="86"/>
      <c r="M17" s="7"/>
      <c r="N17" s="6"/>
      <c r="P17" s="76">
        <f>H16+'پ ف 3'!H16+'ف 423'!H15+'ف 342'!H14</f>
        <v>414885.44079999998</v>
      </c>
      <c r="Q17" s="28"/>
    </row>
    <row r="19" spans="1:17" s="48" customFormat="1" ht="23.25" x14ac:dyDescent="0.7">
      <c r="B19" s="48" t="s">
        <v>23</v>
      </c>
      <c r="G19" s="49"/>
      <c r="H19" s="84"/>
      <c r="J19" s="69"/>
      <c r="L19" s="87"/>
      <c r="Q19" s="51"/>
    </row>
    <row r="20" spans="1:17" s="37" customFormat="1" ht="24.95" customHeight="1" x14ac:dyDescent="0.6">
      <c r="A20" s="35"/>
      <c r="B20" s="52" t="s">
        <v>54</v>
      </c>
      <c r="C20" s="36"/>
      <c r="D20" s="36"/>
      <c r="E20" s="36"/>
      <c r="F20" s="36"/>
      <c r="G20" s="36"/>
      <c r="H20" s="78"/>
      <c r="I20" s="36"/>
      <c r="J20" s="70"/>
      <c r="K20" s="36"/>
      <c r="L20" s="78"/>
      <c r="Q20" s="38"/>
    </row>
    <row r="21" spans="1:17" s="37" customFormat="1" ht="24.95" customHeight="1" x14ac:dyDescent="0.6">
      <c r="A21" s="35"/>
      <c r="B21" s="139" t="s">
        <v>55</v>
      </c>
      <c r="C21" s="139"/>
      <c r="D21" s="139"/>
      <c r="E21" s="139"/>
      <c r="F21" s="139"/>
      <c r="G21" s="139"/>
      <c r="H21" s="139"/>
      <c r="I21" s="139"/>
      <c r="J21" s="139"/>
      <c r="K21" s="139"/>
      <c r="L21" s="139"/>
      <c r="Q21" s="38"/>
    </row>
    <row r="22" spans="1:17" s="37" customFormat="1" ht="24.95" customHeight="1" x14ac:dyDescent="0.6">
      <c r="A22" s="35"/>
      <c r="B22" s="139"/>
      <c r="C22" s="139"/>
      <c r="D22" s="139"/>
      <c r="E22" s="139"/>
      <c r="F22" s="139"/>
      <c r="G22" s="139"/>
      <c r="H22" s="139"/>
      <c r="I22" s="139"/>
      <c r="J22" s="139"/>
      <c r="K22" s="139"/>
      <c r="L22" s="139"/>
      <c r="Q22" s="38"/>
    </row>
    <row r="23" spans="1:17" s="39" customFormat="1" ht="21" x14ac:dyDescent="0.6">
      <c r="G23" s="39" t="s">
        <v>15</v>
      </c>
      <c r="H23" s="89" t="s">
        <v>12</v>
      </c>
      <c r="J23" s="90" t="s">
        <v>13</v>
      </c>
      <c r="L23" s="89" t="s">
        <v>0</v>
      </c>
      <c r="Q23" s="40"/>
    </row>
    <row r="24" spans="1:17" s="37" customFormat="1" ht="21" x14ac:dyDescent="0.6">
      <c r="B24" s="37" t="s">
        <v>16</v>
      </c>
      <c r="G24" s="41" t="s">
        <v>10</v>
      </c>
      <c r="H24" s="115">
        <v>124429.8</v>
      </c>
      <c r="J24" s="88">
        <v>290271</v>
      </c>
      <c r="L24" s="115">
        <f t="shared" ref="L24:L30" si="0">H24*J24</f>
        <v>36118362475.800003</v>
      </c>
      <c r="Q24" s="38"/>
    </row>
    <row r="25" spans="1:17" s="37" customFormat="1" ht="21" x14ac:dyDescent="0.6">
      <c r="B25" s="37" t="s">
        <v>17</v>
      </c>
      <c r="G25" s="41" t="s">
        <v>11</v>
      </c>
      <c r="H25" s="116">
        <v>34391.1</v>
      </c>
      <c r="J25" s="88">
        <v>294059</v>
      </c>
      <c r="L25" s="116">
        <f t="shared" si="0"/>
        <v>10113012474.9</v>
      </c>
      <c r="Q25" s="38"/>
    </row>
    <row r="26" spans="1:17" s="37" customFormat="1" ht="21" x14ac:dyDescent="0.6">
      <c r="B26" s="37" t="s">
        <v>31</v>
      </c>
      <c r="G26" s="41"/>
      <c r="H26" s="116">
        <v>-96021.98</v>
      </c>
      <c r="J26" s="88">
        <v>290271</v>
      </c>
      <c r="L26" s="115">
        <f t="shared" si="0"/>
        <v>-27872396156.579998</v>
      </c>
      <c r="Q26" s="38"/>
    </row>
    <row r="27" spans="1:17" s="37" customFormat="1" ht="21" x14ac:dyDescent="0.6">
      <c r="B27" s="37" t="s">
        <v>36</v>
      </c>
      <c r="G27" s="41"/>
      <c r="H27" s="116">
        <v>-28407.820000000007</v>
      </c>
      <c r="J27" s="88">
        <v>290271</v>
      </c>
      <c r="L27" s="115">
        <f t="shared" si="0"/>
        <v>-8245966319.2200022</v>
      </c>
      <c r="Q27" s="38"/>
    </row>
    <row r="28" spans="1:17" s="37" customFormat="1" ht="21" x14ac:dyDescent="0.6">
      <c r="B28" s="37" t="s">
        <v>36</v>
      </c>
      <c r="G28" s="41"/>
      <c r="H28" s="116">
        <v>-14732.76999999999</v>
      </c>
      <c r="J28" s="88">
        <v>294059</v>
      </c>
      <c r="L28" s="115">
        <f t="shared" si="0"/>
        <v>-4332303613.4299965</v>
      </c>
      <c r="Q28" s="38"/>
    </row>
    <row r="29" spans="1:17" s="37" customFormat="1" ht="21" x14ac:dyDescent="0.6">
      <c r="B29" s="37" t="s">
        <v>37</v>
      </c>
      <c r="G29" s="41"/>
      <c r="H29" s="116">
        <v>-10380.16</v>
      </c>
      <c r="J29" s="88">
        <v>294059</v>
      </c>
      <c r="L29" s="115">
        <f t="shared" si="0"/>
        <v>-3052379469.4400001</v>
      </c>
      <c r="Q29" s="38"/>
    </row>
    <row r="30" spans="1:17" s="37" customFormat="1" ht="21" x14ac:dyDescent="0.6">
      <c r="B30" s="37" t="s">
        <v>52</v>
      </c>
      <c r="G30" s="41"/>
      <c r="H30" s="116">
        <f>-'پ ف 4'!H12</f>
        <v>-9278.1700000000092</v>
      </c>
      <c r="J30" s="88">
        <v>294059</v>
      </c>
      <c r="L30" s="115">
        <f t="shared" si="0"/>
        <v>-2728329392.0300026</v>
      </c>
      <c r="Q30" s="38"/>
    </row>
    <row r="31" spans="1:17" s="37" customFormat="1" ht="21.75" thickBot="1" x14ac:dyDescent="0.65">
      <c r="B31" s="37" t="s">
        <v>53</v>
      </c>
      <c r="G31" s="41"/>
      <c r="H31" s="117">
        <f>SUM(H24:H30)</f>
        <v>0</v>
      </c>
      <c r="J31" s="54"/>
      <c r="L31" s="118">
        <f>SUM(L24:L30)</f>
        <v>6.198883056640625E-6</v>
      </c>
      <c r="Q31" s="38"/>
    </row>
    <row r="32" spans="1:17" s="37" customFormat="1" ht="21.75" thickTop="1" x14ac:dyDescent="0.6">
      <c r="G32" s="41"/>
      <c r="H32" s="74"/>
      <c r="J32" s="54"/>
      <c r="L32" s="75"/>
      <c r="Q32" s="38"/>
    </row>
    <row r="33" spans="2:5" x14ac:dyDescent="0.55000000000000004">
      <c r="B33" s="1" t="s">
        <v>49</v>
      </c>
      <c r="D33" s="26"/>
      <c r="E33" s="26"/>
    </row>
  </sheetData>
  <mergeCells count="1">
    <mergeCell ref="B21:L22"/>
  </mergeCells>
  <printOptions horizontalCentered="1"/>
  <pageMargins left="0.7" right="0.7" top="0.75" bottom="0.75" header="0.3" footer="0.3"/>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82D2-8EE2-45F7-8722-226CA60183B9}">
  <sheetPr>
    <pageSetUpPr fitToPage="1"/>
  </sheetPr>
  <dimension ref="A1:U33"/>
  <sheetViews>
    <sheetView rightToLeft="1" tabSelected="1" view="pageBreakPreview" zoomScaleNormal="100" zoomScaleSheetLayoutView="100" workbookViewId="0">
      <selection activeCell="J17" sqref="J17"/>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7" width="13.28515625" style="9" bestFit="1" customWidth="1"/>
    <col min="8" max="8" width="12.85546875" style="81" bestFit="1" customWidth="1"/>
    <col min="9" max="9" width="1.7109375" style="1" customWidth="1"/>
    <col min="10" max="10" width="18.85546875" style="58" bestFit="1" customWidth="1"/>
    <col min="11" max="11" width="1.7109375" style="1" customWidth="1"/>
    <col min="12" max="12" width="20.28515625" style="85" customWidth="1"/>
    <col min="13" max="13" width="1.7109375" style="1" customWidth="1"/>
    <col min="14" max="14" width="9.140625" style="1"/>
    <col min="15" max="15" width="12.5703125" style="1" hidden="1" customWidth="1"/>
    <col min="16" max="16" width="16.85546875" style="1" bestFit="1" customWidth="1"/>
    <col min="17" max="17" width="12.85546875" style="26" bestFit="1" customWidth="1"/>
    <col min="18" max="18" width="10.42578125" style="1" bestFit="1" customWidth="1"/>
    <col min="19" max="19" width="11.7109375" style="1" bestFit="1" customWidth="1"/>
    <col min="20" max="20" width="12.85546875" style="1" bestFit="1" customWidth="1"/>
    <col min="21" max="16384" width="9.140625" style="1"/>
  </cols>
  <sheetData>
    <row r="1" spans="2:21" ht="27" x14ac:dyDescent="0.55000000000000004">
      <c r="B1" s="8" t="s">
        <v>19</v>
      </c>
      <c r="L1" s="11" t="s">
        <v>21</v>
      </c>
    </row>
    <row r="2" spans="2:21" ht="27" x14ac:dyDescent="0.55000000000000004">
      <c r="B2" s="8" t="s">
        <v>5</v>
      </c>
      <c r="L2" s="11" t="s">
        <v>47</v>
      </c>
    </row>
    <row r="3" spans="2:21" ht="27" x14ac:dyDescent="0.55000000000000004">
      <c r="B3" s="12" t="s">
        <v>20</v>
      </c>
      <c r="C3" s="2"/>
      <c r="D3" s="2"/>
      <c r="E3" s="2"/>
      <c r="F3" s="2"/>
      <c r="G3" s="13"/>
      <c r="H3" s="82"/>
      <c r="I3" s="2"/>
      <c r="J3" s="79"/>
      <c r="K3" s="2"/>
      <c r="L3" s="15" t="s">
        <v>51</v>
      </c>
    </row>
    <row r="4" spans="2:21" ht="5.0999999999999996" customHeight="1" x14ac:dyDescent="0.55000000000000004"/>
    <row r="5" spans="2:21" s="3" customFormat="1" ht="43.5" x14ac:dyDescent="0.25">
      <c r="G5" s="16"/>
      <c r="H5" s="17" t="s">
        <v>1</v>
      </c>
      <c r="J5" s="18" t="s">
        <v>4</v>
      </c>
      <c r="L5" s="20" t="s">
        <v>0</v>
      </c>
      <c r="Q5" s="30"/>
    </row>
    <row r="6" spans="2:21" s="4" customFormat="1" ht="21.75" x14ac:dyDescent="0.6">
      <c r="B6" s="4" t="s">
        <v>3</v>
      </c>
      <c r="G6" s="21"/>
      <c r="H6" s="94">
        <f>2364.42+15544.06+3720.85</f>
        <v>21629.329999999998</v>
      </c>
      <c r="J6" s="91"/>
      <c r="L6" s="94">
        <f>L8/109%</f>
        <v>10248599457.514954</v>
      </c>
      <c r="P6" s="71">
        <f>H6+'پ ف 3'!H6+'ف 423'!H6+'ف 342'!H6</f>
        <v>520105.23</v>
      </c>
      <c r="Q6" s="27">
        <v>560486.36</v>
      </c>
      <c r="R6" s="71">
        <f>Q6-P6</f>
        <v>40381.130000000005</v>
      </c>
    </row>
    <row r="7" spans="2:21" s="4" customFormat="1" ht="21.75" x14ac:dyDescent="0.6">
      <c r="B7" s="4" t="s">
        <v>2</v>
      </c>
      <c r="G7" s="21"/>
      <c r="H7" s="95">
        <f>(H6*9%)-0.01</f>
        <v>1946.6296999999997</v>
      </c>
      <c r="J7" s="91"/>
      <c r="L7" s="98">
        <f>L6*9%</f>
        <v>922373951.17634583</v>
      </c>
      <c r="P7" s="71">
        <f>H7+'پ ف 3'!H7+'ف 423'!H7+'ف 342'!H7</f>
        <v>46809.461900000002</v>
      </c>
      <c r="Q7" s="27"/>
      <c r="S7" s="31"/>
    </row>
    <row r="8" spans="2:21" s="5" customFormat="1" ht="24" x14ac:dyDescent="0.7">
      <c r="B8" s="5" t="s">
        <v>8</v>
      </c>
      <c r="G8" s="23"/>
      <c r="H8" s="96">
        <f>SUM(H6:H7)</f>
        <v>23575.959699999999</v>
      </c>
      <c r="J8" s="92"/>
      <c r="L8" s="96">
        <f>L16+L14</f>
        <v>11170973408.691299</v>
      </c>
      <c r="P8" s="76">
        <f>SUM(P6:P7)</f>
        <v>566914.69189999998</v>
      </c>
      <c r="Q8" s="28"/>
      <c r="S8" s="29"/>
    </row>
    <row r="9" spans="2:21" s="4" customFormat="1" ht="21.75" x14ac:dyDescent="0.6">
      <c r="G9" s="21"/>
      <c r="H9" s="94"/>
      <c r="J9" s="91"/>
      <c r="L9" s="94"/>
      <c r="Q9" s="27"/>
    </row>
    <row r="10" spans="2:21" s="4" customFormat="1" ht="24" x14ac:dyDescent="0.7">
      <c r="B10" s="5" t="s">
        <v>6</v>
      </c>
      <c r="G10" s="21"/>
      <c r="H10" s="94"/>
      <c r="J10" s="91"/>
      <c r="L10" s="94"/>
      <c r="Q10" s="27"/>
    </row>
    <row r="11" spans="2:21" s="4" customFormat="1" ht="21.75" x14ac:dyDescent="0.6">
      <c r="B11" s="4" t="s">
        <v>32</v>
      </c>
      <c r="F11" s="31"/>
      <c r="G11" s="21"/>
      <c r="H11" s="97">
        <f>H24+H26+H27</f>
        <v>0</v>
      </c>
      <c r="I11" s="32"/>
      <c r="J11" s="91">
        <f>J24</f>
        <v>290271</v>
      </c>
      <c r="K11" s="24"/>
      <c r="L11" s="97">
        <f>H11*J11</f>
        <v>0</v>
      </c>
      <c r="O11" s="25"/>
      <c r="P11" s="31">
        <f>-H24</f>
        <v>-124429.8</v>
      </c>
      <c r="Q11" s="27">
        <f>'پ ف 3'!H12-'پ ف 3'!H14-'ف 423'!H12</f>
        <v>-5454.6039999999812</v>
      </c>
      <c r="T11" s="27"/>
    </row>
    <row r="12" spans="2:21" s="4" customFormat="1" ht="21.75" x14ac:dyDescent="0.6">
      <c r="B12" s="4" t="s">
        <v>33</v>
      </c>
      <c r="F12" s="31"/>
      <c r="G12" s="21"/>
      <c r="H12" s="98">
        <v>0</v>
      </c>
      <c r="I12" s="32"/>
      <c r="J12" s="93">
        <f>J25</f>
        <v>294059</v>
      </c>
      <c r="K12" s="24"/>
      <c r="L12" s="98">
        <f>H12*J12</f>
        <v>0</v>
      </c>
      <c r="O12" s="25"/>
      <c r="P12" s="31">
        <f>-H25</f>
        <v>-34391.1</v>
      </c>
      <c r="Q12" s="27"/>
      <c r="T12" s="27"/>
    </row>
    <row r="13" spans="2:21" s="4" customFormat="1" ht="21.75" x14ac:dyDescent="0.6">
      <c r="F13" s="31"/>
      <c r="G13" s="21"/>
      <c r="H13" s="97"/>
      <c r="I13" s="32"/>
      <c r="J13" s="93"/>
      <c r="K13" s="24"/>
      <c r="L13" s="97"/>
      <c r="O13" s="25"/>
      <c r="Q13" s="27"/>
      <c r="T13" s="27"/>
    </row>
    <row r="14" spans="2:21" s="5" customFormat="1" ht="24" x14ac:dyDescent="0.7">
      <c r="B14" s="5" t="s">
        <v>9</v>
      </c>
      <c r="G14" s="23"/>
      <c r="H14" s="96">
        <v>0</v>
      </c>
      <c r="J14" s="93"/>
      <c r="L14" s="96">
        <f>H14*J14</f>
        <v>0</v>
      </c>
      <c r="Q14" s="28"/>
      <c r="R14" s="29"/>
      <c r="T14" s="28">
        <v>43140.59</v>
      </c>
      <c r="U14" s="29">
        <v>2.0000000004074502E-3</v>
      </c>
    </row>
    <row r="15" spans="2:21" s="4" customFormat="1" ht="21.75" x14ac:dyDescent="0.6">
      <c r="G15" s="21"/>
      <c r="H15" s="94"/>
      <c r="J15" s="91"/>
      <c r="L15" s="94"/>
      <c r="Q15" s="27"/>
      <c r="T15" s="27"/>
    </row>
    <row r="16" spans="2:21" s="5" customFormat="1" ht="24.75" thickBot="1" x14ac:dyDescent="0.75">
      <c r="B16" s="5" t="s">
        <v>18</v>
      </c>
      <c r="G16" s="23"/>
      <c r="H16" s="99">
        <f>H8-H14</f>
        <v>23575.959699999999</v>
      </c>
      <c r="J16" s="91">
        <v>473829</v>
      </c>
      <c r="L16" s="99">
        <f>H16*J16</f>
        <v>11170973408.691299</v>
      </c>
      <c r="M16" s="7"/>
      <c r="N16" s="6"/>
      <c r="P16" s="76">
        <f>P8+P11+P12</f>
        <v>408093.79190000001</v>
      </c>
      <c r="Q16" s="28"/>
    </row>
    <row r="17" spans="1:17" s="5" customFormat="1" ht="24.75" thickTop="1" x14ac:dyDescent="0.7">
      <c r="G17" s="23"/>
      <c r="H17" s="83"/>
      <c r="J17" s="16"/>
      <c r="L17" s="86"/>
      <c r="M17" s="7"/>
      <c r="N17" s="6"/>
      <c r="P17" s="76">
        <f>H16+'پ ف 3'!H16+'ف 423'!H15+'ف 342'!H14</f>
        <v>417371.95789999998</v>
      </c>
      <c r="Q17" s="28"/>
    </row>
    <row r="19" spans="1:17" s="48" customFormat="1" ht="23.25" x14ac:dyDescent="0.7">
      <c r="B19" s="48" t="s">
        <v>23</v>
      </c>
      <c r="G19" s="49"/>
      <c r="H19" s="84"/>
      <c r="J19" s="69"/>
      <c r="L19" s="87"/>
      <c r="Q19" s="51"/>
    </row>
    <row r="20" spans="1:17" s="37" customFormat="1" ht="24.95" customHeight="1" x14ac:dyDescent="0.6">
      <c r="A20" s="35"/>
      <c r="B20" s="52" t="s">
        <v>56</v>
      </c>
      <c r="C20" s="36"/>
      <c r="D20" s="36"/>
      <c r="E20" s="36"/>
      <c r="F20" s="36"/>
      <c r="G20" s="36"/>
      <c r="H20" s="78"/>
      <c r="I20" s="36"/>
      <c r="J20" s="70"/>
      <c r="K20" s="36"/>
      <c r="L20" s="78"/>
      <c r="Q20" s="38"/>
    </row>
    <row r="21" spans="1:17" s="37" customFormat="1" ht="24.95" customHeight="1" x14ac:dyDescent="0.6">
      <c r="A21" s="35"/>
      <c r="B21" s="139" t="s">
        <v>55</v>
      </c>
      <c r="C21" s="139"/>
      <c r="D21" s="139"/>
      <c r="E21" s="139"/>
      <c r="F21" s="139"/>
      <c r="G21" s="139"/>
      <c r="H21" s="139"/>
      <c r="I21" s="139"/>
      <c r="J21" s="139"/>
      <c r="K21" s="139"/>
      <c r="L21" s="139"/>
      <c r="Q21" s="38"/>
    </row>
    <row r="22" spans="1:17" s="37" customFormat="1" ht="24.95" customHeight="1" x14ac:dyDescent="0.6">
      <c r="A22" s="35"/>
      <c r="B22" s="139"/>
      <c r="C22" s="139"/>
      <c r="D22" s="139"/>
      <c r="E22" s="139"/>
      <c r="F22" s="139"/>
      <c r="G22" s="139"/>
      <c r="H22" s="139"/>
      <c r="I22" s="139"/>
      <c r="J22" s="139"/>
      <c r="K22" s="139"/>
      <c r="L22" s="139"/>
      <c r="Q22" s="38"/>
    </row>
    <row r="23" spans="1:17" s="39" customFormat="1" ht="21" x14ac:dyDescent="0.6">
      <c r="G23" s="39" t="s">
        <v>15</v>
      </c>
      <c r="H23" s="89" t="s">
        <v>12</v>
      </c>
      <c r="J23" s="90" t="s">
        <v>13</v>
      </c>
      <c r="L23" s="89" t="s">
        <v>0</v>
      </c>
      <c r="Q23" s="40"/>
    </row>
    <row r="24" spans="1:17" s="37" customFormat="1" ht="21" x14ac:dyDescent="0.6">
      <c r="B24" s="37" t="s">
        <v>16</v>
      </c>
      <c r="G24" s="41" t="s">
        <v>10</v>
      </c>
      <c r="H24" s="115">
        <v>124429.8</v>
      </c>
      <c r="J24" s="88">
        <v>290271</v>
      </c>
      <c r="L24" s="115">
        <f t="shared" ref="L24:L30" si="0">H24*J24</f>
        <v>36118362475.800003</v>
      </c>
      <c r="Q24" s="38"/>
    </row>
    <row r="25" spans="1:17" s="37" customFormat="1" ht="21" x14ac:dyDescent="0.6">
      <c r="B25" s="37" t="s">
        <v>17</v>
      </c>
      <c r="G25" s="41" t="s">
        <v>11</v>
      </c>
      <c r="H25" s="116">
        <v>34391.1</v>
      </c>
      <c r="J25" s="88">
        <v>294059</v>
      </c>
      <c r="L25" s="116">
        <f t="shared" si="0"/>
        <v>10113012474.9</v>
      </c>
      <c r="Q25" s="38"/>
    </row>
    <row r="26" spans="1:17" s="37" customFormat="1" ht="21" x14ac:dyDescent="0.6">
      <c r="B26" s="37" t="s">
        <v>31</v>
      </c>
      <c r="G26" s="41"/>
      <c r="H26" s="116">
        <v>-96021.98</v>
      </c>
      <c r="J26" s="88">
        <v>290271</v>
      </c>
      <c r="L26" s="115">
        <f t="shared" si="0"/>
        <v>-27872396156.579998</v>
      </c>
      <c r="Q26" s="38"/>
    </row>
    <row r="27" spans="1:17" s="37" customFormat="1" ht="21" x14ac:dyDescent="0.6">
      <c r="B27" s="37" t="s">
        <v>36</v>
      </c>
      <c r="G27" s="41"/>
      <c r="H27" s="116">
        <v>-28407.820000000007</v>
      </c>
      <c r="J27" s="88">
        <v>290271</v>
      </c>
      <c r="L27" s="115">
        <f t="shared" si="0"/>
        <v>-8245966319.2200022</v>
      </c>
      <c r="Q27" s="38"/>
    </row>
    <row r="28" spans="1:17" s="37" customFormat="1" ht="21" x14ac:dyDescent="0.6">
      <c r="B28" s="37" t="s">
        <v>36</v>
      </c>
      <c r="G28" s="41"/>
      <c r="H28" s="116">
        <v>-14732.76999999999</v>
      </c>
      <c r="J28" s="88">
        <v>294059</v>
      </c>
      <c r="L28" s="115">
        <f t="shared" si="0"/>
        <v>-4332303613.4299965</v>
      </c>
      <c r="Q28" s="38"/>
    </row>
    <row r="29" spans="1:17" s="37" customFormat="1" ht="21" x14ac:dyDescent="0.6">
      <c r="B29" s="37" t="s">
        <v>37</v>
      </c>
      <c r="G29" s="41"/>
      <c r="H29" s="116">
        <v>-10380.16</v>
      </c>
      <c r="J29" s="88">
        <v>294059</v>
      </c>
      <c r="L29" s="115">
        <f t="shared" si="0"/>
        <v>-3052379469.4400001</v>
      </c>
      <c r="Q29" s="38"/>
    </row>
    <row r="30" spans="1:17" s="37" customFormat="1" ht="21" x14ac:dyDescent="0.6">
      <c r="B30" s="37" t="s">
        <v>52</v>
      </c>
      <c r="G30" s="41"/>
      <c r="H30" s="116">
        <f>-'پ ف 4'!H12</f>
        <v>-9278.1700000000092</v>
      </c>
      <c r="J30" s="88">
        <v>294059</v>
      </c>
      <c r="L30" s="115">
        <f t="shared" si="0"/>
        <v>-2728329392.0300026</v>
      </c>
      <c r="Q30" s="38"/>
    </row>
    <row r="31" spans="1:17" s="37" customFormat="1" ht="21.75" thickBot="1" x14ac:dyDescent="0.65">
      <c r="B31" s="37" t="s">
        <v>53</v>
      </c>
      <c r="G31" s="41"/>
      <c r="H31" s="117">
        <f>SUM(H24:H30)</f>
        <v>0</v>
      </c>
      <c r="J31" s="54"/>
      <c r="L31" s="118">
        <f>SUM(L24:L30)</f>
        <v>6.198883056640625E-6</v>
      </c>
      <c r="Q31" s="38"/>
    </row>
    <row r="32" spans="1:17" s="37" customFormat="1" ht="21.75" thickTop="1" x14ac:dyDescent="0.6">
      <c r="G32" s="41"/>
      <c r="H32" s="74"/>
      <c r="J32" s="54"/>
      <c r="L32" s="75"/>
      <c r="Q32" s="38"/>
    </row>
    <row r="33" spans="2:5" x14ac:dyDescent="0.55000000000000004">
      <c r="B33" s="1" t="s">
        <v>49</v>
      </c>
      <c r="D33" s="26"/>
      <c r="E33" s="26"/>
    </row>
  </sheetData>
  <mergeCells count="1">
    <mergeCell ref="B21:L22"/>
  </mergeCells>
  <printOptions horizontalCentered="1"/>
  <pageMargins left="0.7" right="0.7" top="0.75" bottom="0.75" header="0.3" footer="0.3"/>
  <pageSetup paperSize="9" scale="69"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0D80-0BA3-4BBD-B7F1-80AA21D12997}">
  <sheetPr>
    <pageSetUpPr fitToPage="1"/>
  </sheetPr>
  <dimension ref="A1:T24"/>
  <sheetViews>
    <sheetView rightToLeft="1" view="pageBreakPreview" zoomScaleNormal="100" zoomScaleSheetLayoutView="100" workbookViewId="0">
      <selection activeCell="P8" sqref="P8"/>
    </sheetView>
  </sheetViews>
  <sheetFormatPr defaultRowHeight="19.5" x14ac:dyDescent="0.55000000000000004"/>
  <cols>
    <col min="1" max="1" width="1.7109375" style="1" customWidth="1"/>
    <col min="2" max="3" width="9.140625" style="1"/>
    <col min="4" max="4" width="9" style="1" bestFit="1" customWidth="1"/>
    <col min="5" max="5" width="10.140625" style="1" bestFit="1" customWidth="1"/>
    <col min="6" max="6" width="15.42578125" style="1" bestFit="1" customWidth="1"/>
    <col min="7" max="8" width="14.140625" style="9" bestFit="1" customWidth="1"/>
    <col min="9" max="9" width="1.7109375" style="1" customWidth="1"/>
    <col min="10" max="10" width="16.140625" style="10" customWidth="1"/>
    <col min="11" max="11" width="1.7109375" style="1" customWidth="1"/>
    <col min="12" max="12" width="16.85546875" style="1" customWidth="1"/>
    <col min="13" max="13" width="1.7109375" style="1" customWidth="1"/>
    <col min="14" max="14" width="9.140625" style="1"/>
    <col min="15" max="15" width="12.5703125" style="1" hidden="1" customWidth="1"/>
    <col min="16" max="16" width="24" style="1" customWidth="1"/>
    <col min="17" max="17" width="12.85546875" style="26" bestFit="1" customWidth="1"/>
    <col min="18" max="18" width="9.140625" style="1"/>
    <col min="19" max="19" width="11.7109375" style="1" bestFit="1" customWidth="1"/>
    <col min="20" max="20" width="12.85546875" style="1" bestFit="1" customWidth="1"/>
    <col min="21" max="16384" width="9.140625" style="1"/>
  </cols>
  <sheetData>
    <row r="1" spans="2:20" ht="27" x14ac:dyDescent="0.55000000000000004">
      <c r="B1" s="8" t="s">
        <v>19</v>
      </c>
      <c r="L1" s="11" t="s">
        <v>21</v>
      </c>
    </row>
    <row r="2" spans="2:20" ht="27" x14ac:dyDescent="0.55000000000000004">
      <c r="B2" s="8" t="s">
        <v>5</v>
      </c>
      <c r="L2" s="11" t="s">
        <v>22</v>
      </c>
    </row>
    <row r="3" spans="2:20" ht="27" x14ac:dyDescent="0.55000000000000004">
      <c r="B3" s="12" t="s">
        <v>20</v>
      </c>
      <c r="C3" s="2"/>
      <c r="D3" s="2"/>
      <c r="E3" s="2"/>
      <c r="F3" s="2"/>
      <c r="G3" s="13"/>
      <c r="H3" s="13"/>
      <c r="I3" s="2"/>
      <c r="J3" s="14"/>
      <c r="K3" s="2"/>
      <c r="L3" s="15" t="s">
        <v>14</v>
      </c>
    </row>
    <row r="4" spans="2:20" ht="5.0999999999999996" customHeight="1" x14ac:dyDescent="0.55000000000000004"/>
    <row r="5" spans="2:20" s="3" customFormat="1" ht="43.5" x14ac:dyDescent="0.25">
      <c r="G5" s="16"/>
      <c r="H5" s="17" t="s">
        <v>1</v>
      </c>
      <c r="J5" s="18" t="s">
        <v>4</v>
      </c>
      <c r="L5" s="20" t="s">
        <v>0</v>
      </c>
      <c r="Q5" s="30"/>
    </row>
    <row r="6" spans="2:20" s="4" customFormat="1" ht="21.75" x14ac:dyDescent="0.6">
      <c r="B6" s="4" t="s">
        <v>3</v>
      </c>
      <c r="G6" s="21"/>
      <c r="H6" s="16">
        <f>12418.97+106374.16+109445.67+91834.6</f>
        <v>320073.40000000002</v>
      </c>
      <c r="I6" s="3"/>
      <c r="J6" s="19"/>
      <c r="K6" s="3"/>
      <c r="L6" s="19">
        <f>(H6*30%*J11)+(H6*70%*J14)</f>
        <v>91258335580.460007</v>
      </c>
      <c r="Q6" s="27"/>
    </row>
    <row r="7" spans="2:20" s="4" customFormat="1" ht="21.75" x14ac:dyDescent="0.6">
      <c r="B7" s="4" t="s">
        <v>2</v>
      </c>
      <c r="G7" s="71"/>
      <c r="H7" s="17">
        <f>1117.69+9573.67+9850.11+8265.11</f>
        <v>28806.58</v>
      </c>
      <c r="I7" s="3"/>
      <c r="J7" s="19"/>
      <c r="K7" s="3"/>
      <c r="L7" s="20">
        <f>(H7*0%*J11)+(H7*100%*J14)</f>
        <v>8149611934.6400003</v>
      </c>
      <c r="Q7" s="27"/>
      <c r="S7" s="31"/>
    </row>
    <row r="8" spans="2:20" s="5" customFormat="1" ht="24" x14ac:dyDescent="0.7">
      <c r="B8" s="5" t="s">
        <v>8</v>
      </c>
      <c r="G8" s="23"/>
      <c r="H8" s="59">
        <f>SUM(H6:H7)</f>
        <v>348879.98000000004</v>
      </c>
      <c r="I8" s="60"/>
      <c r="J8" s="61"/>
      <c r="K8" s="60"/>
      <c r="L8" s="61">
        <f>SUM(L6:L7)</f>
        <v>99407947515.100006</v>
      </c>
      <c r="P8" s="77">
        <f>'ف 342'!L8+'ف 423'!L8+'پ ف 3'!L8+'پ ف 4'!L8</f>
        <v>178027301552.04449</v>
      </c>
      <c r="Q8" s="28"/>
      <c r="S8" s="29"/>
    </row>
    <row r="9" spans="2:20" s="4" customFormat="1" ht="21.75" x14ac:dyDescent="0.6">
      <c r="G9" s="21"/>
      <c r="H9" s="16"/>
      <c r="I9" s="3"/>
      <c r="J9" s="19"/>
      <c r="K9" s="3"/>
      <c r="L9" s="19"/>
      <c r="Q9" s="27"/>
    </row>
    <row r="10" spans="2:20" s="4" customFormat="1" ht="24" x14ac:dyDescent="0.7">
      <c r="B10" s="5" t="s">
        <v>6</v>
      </c>
      <c r="G10" s="21"/>
      <c r="H10" s="16"/>
      <c r="I10" s="3"/>
      <c r="J10" s="19"/>
      <c r="K10" s="3"/>
      <c r="L10" s="19"/>
      <c r="Q10" s="27"/>
    </row>
    <row r="11" spans="2:20" s="4" customFormat="1" ht="21.75" x14ac:dyDescent="0.6">
      <c r="B11" s="4" t="s">
        <v>9</v>
      </c>
      <c r="G11" s="21"/>
      <c r="H11" s="17">
        <f>H6*30/100-0.04</f>
        <v>96021.98000000001</v>
      </c>
      <c r="I11" s="53" t="s">
        <v>7</v>
      </c>
      <c r="J11" s="16">
        <v>290271</v>
      </c>
      <c r="K11" s="62"/>
      <c r="L11" s="20">
        <f>H11*J11</f>
        <v>27872396156.580002</v>
      </c>
      <c r="O11" s="25"/>
      <c r="Q11" s="27"/>
      <c r="T11" s="27"/>
    </row>
    <row r="12" spans="2:20" s="5" customFormat="1" ht="24" x14ac:dyDescent="0.7">
      <c r="G12" s="23"/>
      <c r="H12" s="59">
        <f>SUM(H11:H11)</f>
        <v>96021.98000000001</v>
      </c>
      <c r="I12" s="60"/>
      <c r="J12" s="59"/>
      <c r="K12" s="60"/>
      <c r="L12" s="61">
        <f>SUM(L11:L11)</f>
        <v>27872396156.580002</v>
      </c>
      <c r="Q12" s="28"/>
      <c r="R12" s="29"/>
      <c r="T12" s="28"/>
    </row>
    <row r="13" spans="2:20" s="4" customFormat="1" ht="21.75" x14ac:dyDescent="0.6">
      <c r="G13" s="21"/>
      <c r="H13" s="16"/>
      <c r="I13" s="3"/>
      <c r="J13" s="16"/>
      <c r="K13" s="3"/>
      <c r="L13" s="19"/>
      <c r="Q13" s="27"/>
      <c r="T13" s="27"/>
    </row>
    <row r="14" spans="2:20" s="5" customFormat="1" ht="24.75" thickBot="1" x14ac:dyDescent="0.75">
      <c r="B14" s="5" t="s">
        <v>18</v>
      </c>
      <c r="G14" s="55">
        <f>H8-H12</f>
        <v>252858.00000000003</v>
      </c>
      <c r="H14" s="63">
        <f>H8-H12</f>
        <v>252858.00000000003</v>
      </c>
      <c r="I14" s="60"/>
      <c r="J14" s="16">
        <v>282908</v>
      </c>
      <c r="K14" s="60"/>
      <c r="L14" s="64">
        <f>H14*J14</f>
        <v>71535551064.000015</v>
      </c>
      <c r="M14" s="7"/>
      <c r="N14" s="6"/>
      <c r="Q14" s="28"/>
    </row>
    <row r="15" spans="2:20" s="5" customFormat="1" ht="24.75" thickTop="1" x14ac:dyDescent="0.7">
      <c r="G15" s="23"/>
      <c r="H15" s="65"/>
      <c r="I15" s="60"/>
      <c r="J15" s="16"/>
      <c r="K15" s="60"/>
      <c r="L15" s="66"/>
      <c r="M15" s="7"/>
      <c r="N15" s="6"/>
      <c r="Q15" s="28"/>
    </row>
    <row r="16" spans="2:20" x14ac:dyDescent="0.55000000000000004">
      <c r="H16" s="56"/>
      <c r="I16" s="57"/>
      <c r="J16" s="58"/>
      <c r="K16" s="57"/>
      <c r="L16" s="72"/>
    </row>
    <row r="17" spans="1:17" s="48" customFormat="1" ht="23.25" x14ac:dyDescent="0.7">
      <c r="B17" s="48" t="s">
        <v>23</v>
      </c>
      <c r="G17" s="49"/>
      <c r="H17" s="67"/>
      <c r="I17" s="68"/>
      <c r="J17" s="69"/>
      <c r="K17" s="68"/>
      <c r="L17" s="68"/>
      <c r="Q17" s="51"/>
    </row>
    <row r="18" spans="1:17" s="37" customFormat="1" ht="24.95" customHeight="1" x14ac:dyDescent="0.6">
      <c r="A18" s="35"/>
      <c r="B18" s="52" t="s">
        <v>24</v>
      </c>
      <c r="C18" s="36"/>
      <c r="D18" s="36"/>
      <c r="E18" s="36"/>
      <c r="F18" s="36"/>
      <c r="G18" s="36"/>
      <c r="H18" s="70"/>
      <c r="I18" s="70"/>
      <c r="J18" s="70"/>
      <c r="K18" s="70"/>
      <c r="L18" s="70"/>
      <c r="Q18" s="38"/>
    </row>
    <row r="19" spans="1:17" s="37" customFormat="1" ht="24.95" customHeight="1" x14ac:dyDescent="0.6">
      <c r="A19" s="35"/>
      <c r="B19" s="52" t="s">
        <v>25</v>
      </c>
      <c r="C19" s="36"/>
      <c r="D19" s="36"/>
      <c r="E19" s="36"/>
      <c r="F19" s="36"/>
      <c r="G19" s="36"/>
      <c r="H19" s="70"/>
      <c r="I19" s="70"/>
      <c r="J19" s="70"/>
      <c r="K19" s="70"/>
      <c r="L19" s="70"/>
      <c r="Q19" s="38"/>
    </row>
    <row r="20" spans="1:17" s="39" customFormat="1" ht="21" x14ac:dyDescent="0.6">
      <c r="G20" s="39" t="s">
        <v>15</v>
      </c>
      <c r="H20" s="41" t="s">
        <v>12</v>
      </c>
      <c r="I20" s="41"/>
      <c r="J20" s="41" t="s">
        <v>13</v>
      </c>
      <c r="K20" s="41"/>
      <c r="L20" s="41" t="s">
        <v>0</v>
      </c>
      <c r="Q20" s="40"/>
    </row>
    <row r="21" spans="1:17" s="37" customFormat="1" ht="21" x14ac:dyDescent="0.6">
      <c r="B21" s="37" t="s">
        <v>27</v>
      </c>
      <c r="G21" s="41" t="s">
        <v>10</v>
      </c>
      <c r="H21" s="42">
        <f>124429.8-H11</f>
        <v>28407.819999999992</v>
      </c>
      <c r="I21" s="41"/>
      <c r="J21" s="42">
        <v>290271</v>
      </c>
      <c r="K21" s="41"/>
      <c r="L21" s="43">
        <f>H21*J21</f>
        <v>8245966319.2199974</v>
      </c>
      <c r="Q21" s="38"/>
    </row>
    <row r="22" spans="1:17" s="37" customFormat="1" ht="21" x14ac:dyDescent="0.6">
      <c r="B22" s="37" t="s">
        <v>28</v>
      </c>
      <c r="G22" s="41" t="s">
        <v>11</v>
      </c>
      <c r="H22" s="44">
        <v>34391.1</v>
      </c>
      <c r="I22" s="41"/>
      <c r="J22" s="42">
        <v>294059</v>
      </c>
      <c r="K22" s="41"/>
      <c r="L22" s="45">
        <f>H22*J22</f>
        <v>10113012474.9</v>
      </c>
      <c r="Q22" s="38"/>
    </row>
    <row r="23" spans="1:17" s="37" customFormat="1" ht="21.75" thickBot="1" x14ac:dyDescent="0.65">
      <c r="B23" s="140" t="s">
        <v>26</v>
      </c>
      <c r="C23" s="140"/>
      <c r="G23" s="41"/>
      <c r="H23" s="46">
        <f>SUM(H21:H22)</f>
        <v>62798.919999999991</v>
      </c>
      <c r="I23" s="41"/>
      <c r="J23" s="54"/>
      <c r="K23" s="41"/>
      <c r="L23" s="47">
        <f>SUM(L21:L22)</f>
        <v>18358978794.119995</v>
      </c>
      <c r="Q23" s="38"/>
    </row>
    <row r="24" spans="1:17" ht="20.25" thickTop="1" x14ac:dyDescent="0.55000000000000004">
      <c r="D24" s="26"/>
      <c r="E24" s="26"/>
    </row>
  </sheetData>
  <mergeCells count="1">
    <mergeCell ref="B23:C23"/>
  </mergeCells>
  <printOptions horizontalCentered="1"/>
  <pageMargins left="0.7" right="0.7" top="0.75" bottom="0.75" header="0.3" footer="0.3"/>
  <pageSetup paperSize="9" scale="72"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ف 342</vt:lpstr>
      <vt:lpstr>ف 423</vt:lpstr>
      <vt:lpstr>پ ف 3</vt:lpstr>
      <vt:lpstr>پ ف 4</vt:lpstr>
      <vt:lpstr>پ ف 5</vt:lpstr>
      <vt:lpstr>پ ف 6</vt:lpstr>
      <vt:lpstr>ف 342 (امیرعباس)</vt:lpstr>
      <vt:lpstr>'پ ف 3'!Print_Area</vt:lpstr>
      <vt:lpstr>'پ ف 4'!Print_Area</vt:lpstr>
      <vt:lpstr>'پ ف 5'!Print_Area</vt:lpstr>
      <vt:lpstr>'پ ف 6'!Print_Area</vt:lpstr>
      <vt:lpstr>'ف 342'!Print_Area</vt:lpstr>
      <vt:lpstr>'ف 342 (امیرعباس)'!Print_Area</vt:lpstr>
      <vt:lpstr>'ف 423'!Print_Area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Imaghian AmirAbbas</cp:lastModifiedBy>
  <cp:lastPrinted>2023-09-26T16:55:18Z</cp:lastPrinted>
  <dcterms:created xsi:type="dcterms:W3CDTF">2022-09-21T10:24:53Z</dcterms:created>
  <dcterms:modified xsi:type="dcterms:W3CDTF">2023-09-26T17:47:01Z</dcterms:modified>
</cp:coreProperties>
</file>