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p\Finance\Adish Refinery\Adish Group\share\"/>
    </mc:Choice>
  </mc:AlternateContent>
  <xr:revisionPtr revIDLastSave="0" documentId="13_ncr:1_{E55D033B-A205-4547-B7ED-55A8B3E885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قراردادها" sheetId="14" r:id="rId1"/>
    <sheet name="ضمانتنامه ها" sheetId="12" r:id="rId2"/>
  </sheets>
  <definedNames>
    <definedName name="_xlnm._FilterDatabase" localSheetId="1" hidden="1">'ضمانتنامه ها'!$A$1:$AZ$34</definedName>
    <definedName name="_xlnm._FilterDatabase" localSheetId="0" hidden="1">قراردادها!$A$1:$DG$121</definedName>
    <definedName name="OLE_LINK1" localSheetId="1">'ضمانتنامه ها'!#REF!</definedName>
    <definedName name="OLE_LINK1" localSheetId="0">قراردادها!$E$17</definedName>
    <definedName name="_xlnm.Print_Area" localSheetId="0">قراردادها!$A$1:$Y$121</definedName>
    <definedName name="_xlnm.Print_Titles" localSheetId="1">'ضمانتنامه ها'!$4:$4</definedName>
    <definedName name="_xlnm.Print_Titles" localSheetId="0">قراردادها!$1:$1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4" l="1"/>
  <c r="S20" i="14" s="1"/>
  <c r="V20" i="14" s="1"/>
  <c r="N3" i="14"/>
  <c r="N4" i="14"/>
  <c r="N2" i="14"/>
  <c r="P20" i="14" l="1"/>
  <c r="O20" i="14"/>
  <c r="S24" i="14"/>
  <c r="N14" i="14"/>
  <c r="S14" i="14" s="1"/>
  <c r="N15" i="14"/>
  <c r="N12" i="14"/>
  <c r="S12" i="14" s="1"/>
  <c r="N13" i="14"/>
  <c r="S13" i="14" s="1"/>
  <c r="V2" i="14"/>
  <c r="V3" i="14"/>
  <c r="V4" i="14"/>
  <c r="U56" i="14"/>
  <c r="V58" i="14"/>
  <c r="U99" i="14"/>
  <c r="V99" i="14" s="1"/>
  <c r="V114" i="14"/>
  <c r="V117" i="14"/>
  <c r="V118" i="14"/>
  <c r="V119" i="14"/>
  <c r="S5" i="14"/>
  <c r="N5" i="14"/>
  <c r="P5" i="14" s="1"/>
  <c r="N6" i="14"/>
  <c r="S8" i="14"/>
  <c r="V8" i="14" s="1"/>
  <c r="N8" i="14"/>
  <c r="Q8" i="14" s="1"/>
  <c r="S9" i="14"/>
  <c r="N9" i="14"/>
  <c r="O9" i="14" s="1"/>
  <c r="N10" i="14"/>
  <c r="S10" i="14" s="1"/>
  <c r="N11" i="14"/>
  <c r="Q20" i="14" l="1"/>
  <c r="W20" i="14" s="1"/>
  <c r="W8" i="14"/>
  <c r="O13" i="14"/>
  <c r="Q13" i="14" s="1"/>
  <c r="Q9" i="14"/>
  <c r="O11" i="14"/>
  <c r="Q11" i="14" s="1"/>
  <c r="S11" i="14"/>
  <c r="P6" i="14"/>
  <c r="Q6" i="14" s="1"/>
  <c r="Q5" i="14"/>
  <c r="S111" i="14"/>
  <c r="V111" i="14" s="1"/>
  <c r="S121" i="14" l="1"/>
  <c r="V121" i="14" s="1"/>
  <c r="S120" i="14"/>
  <c r="V120" i="14" s="1"/>
  <c r="N120" i="14"/>
  <c r="P120" i="14" s="1"/>
  <c r="Q120" i="14" s="1"/>
  <c r="N119" i="14"/>
  <c r="N118" i="14"/>
  <c r="P118" i="14" s="1"/>
  <c r="N117" i="14"/>
  <c r="P117" i="14" s="1"/>
  <c r="N116" i="14"/>
  <c r="P116" i="14" s="1"/>
  <c r="S116" i="14"/>
  <c r="V116" i="14" s="1"/>
  <c r="M114" i="14"/>
  <c r="N114" i="14" s="1"/>
  <c r="S113" i="14"/>
  <c r="V113" i="14" s="1"/>
  <c r="N113" i="14"/>
  <c r="S112" i="14"/>
  <c r="V112" i="14" s="1"/>
  <c r="N112" i="14"/>
  <c r="P112" i="14" s="1"/>
  <c r="N111" i="14"/>
  <c r="S110" i="14"/>
  <c r="V110" i="14" s="1"/>
  <c r="N110" i="14"/>
  <c r="P110" i="14" s="1"/>
  <c r="S109" i="14"/>
  <c r="V109" i="14" s="1"/>
  <c r="N109" i="14"/>
  <c r="P109" i="14" s="1"/>
  <c r="Q109" i="14" s="1"/>
  <c r="S108" i="14"/>
  <c r="V108" i="14" s="1"/>
  <c r="N108" i="14"/>
  <c r="P108" i="14" s="1"/>
  <c r="S107" i="14"/>
  <c r="V107" i="14" s="1"/>
  <c r="N107" i="14"/>
  <c r="P107" i="14" s="1"/>
  <c r="S106" i="14"/>
  <c r="V106" i="14" s="1"/>
  <c r="M106" i="14"/>
  <c r="N106" i="14" s="1"/>
  <c r="P106" i="14" s="1"/>
  <c r="M105" i="14"/>
  <c r="N105" i="14" s="1"/>
  <c r="S105" i="14"/>
  <c r="V105" i="14" s="1"/>
  <c r="S104" i="14"/>
  <c r="V104" i="14" s="1"/>
  <c r="N104" i="14"/>
  <c r="P104" i="14" s="1"/>
  <c r="Q104" i="14" s="1"/>
  <c r="S103" i="14"/>
  <c r="V103" i="14" s="1"/>
  <c r="M103" i="14"/>
  <c r="N103" i="14" s="1"/>
  <c r="M102" i="14"/>
  <c r="N102" i="14" s="1"/>
  <c r="M101" i="14"/>
  <c r="N101" i="14" s="1"/>
  <c r="S101" i="14"/>
  <c r="V101" i="14" s="1"/>
  <c r="N100" i="14"/>
  <c r="Q100" i="14" s="1"/>
  <c r="S100" i="14"/>
  <c r="V100" i="14" s="1"/>
  <c r="N99" i="14"/>
  <c r="P99" i="14" s="1"/>
  <c r="Q99" i="14" s="1"/>
  <c r="W99" i="14" s="1"/>
  <c r="N98" i="14"/>
  <c r="P98" i="14" s="1"/>
  <c r="S98" i="14"/>
  <c r="V98" i="14" s="1"/>
  <c r="N97" i="14"/>
  <c r="Q97" i="14" s="1"/>
  <c r="S97" i="14"/>
  <c r="V97" i="14" s="1"/>
  <c r="S96" i="14"/>
  <c r="V96" i="14" s="1"/>
  <c r="N96" i="14"/>
  <c r="Q96" i="14" s="1"/>
  <c r="S95" i="14"/>
  <c r="V95" i="14" s="1"/>
  <c r="N95" i="14"/>
  <c r="S94" i="14"/>
  <c r="V94" i="14" s="1"/>
  <c r="M94" i="14"/>
  <c r="N94" i="14" s="1"/>
  <c r="P94" i="14" s="1"/>
  <c r="S93" i="14"/>
  <c r="V93" i="14" s="1"/>
  <c r="N93" i="14"/>
  <c r="P93" i="14" s="1"/>
  <c r="N92" i="14"/>
  <c r="P92" i="14" s="1"/>
  <c r="Q92" i="14" s="1"/>
  <c r="S92" i="14"/>
  <c r="V92" i="14" s="1"/>
  <c r="S91" i="14"/>
  <c r="V91" i="14" s="1"/>
  <c r="M91" i="14"/>
  <c r="N91" i="14" s="1"/>
  <c r="P91" i="14" s="1"/>
  <c r="N90" i="14"/>
  <c r="P90" i="14" s="1"/>
  <c r="Q90" i="14" s="1"/>
  <c r="S90" i="14"/>
  <c r="V90" i="14" s="1"/>
  <c r="S89" i="14"/>
  <c r="V89" i="14" s="1"/>
  <c r="N89" i="14"/>
  <c r="P89" i="14" s="1"/>
  <c r="Q89" i="14" s="1"/>
  <c r="S88" i="14"/>
  <c r="V88" i="14" s="1"/>
  <c r="N88" i="14"/>
  <c r="P88" i="14" s="1"/>
  <c r="Q88" i="14" s="1"/>
  <c r="S87" i="14"/>
  <c r="V87" i="14" s="1"/>
  <c r="N87" i="14"/>
  <c r="M86" i="14"/>
  <c r="N86" i="14" s="1"/>
  <c r="P86" i="14" s="1"/>
  <c r="R86" i="14"/>
  <c r="S86" i="14" s="1"/>
  <c r="V86" i="14" s="1"/>
  <c r="S85" i="14"/>
  <c r="V85" i="14" s="1"/>
  <c r="N85" i="14"/>
  <c r="N84" i="14"/>
  <c r="Q84" i="14" s="1"/>
  <c r="S84" i="14"/>
  <c r="V84" i="14" s="1"/>
  <c r="M83" i="14"/>
  <c r="N83" i="14" s="1"/>
  <c r="S83" i="14"/>
  <c r="V83" i="14" s="1"/>
  <c r="S79" i="14"/>
  <c r="V79" i="14" s="1"/>
  <c r="N79" i="14"/>
  <c r="P79" i="14" s="1"/>
  <c r="Q79" i="14" s="1"/>
  <c r="N78" i="14"/>
  <c r="P78" i="14" s="1"/>
  <c r="S78" i="14"/>
  <c r="V78" i="14" s="1"/>
  <c r="S77" i="14"/>
  <c r="V77" i="14" s="1"/>
  <c r="N77" i="14"/>
  <c r="P77" i="14" s="1"/>
  <c r="S76" i="14"/>
  <c r="V76" i="14" s="1"/>
  <c r="N76" i="14"/>
  <c r="P76" i="14" s="1"/>
  <c r="Q76" i="14" s="1"/>
  <c r="S75" i="14"/>
  <c r="V75" i="14" s="1"/>
  <c r="N75" i="14"/>
  <c r="P75" i="14" s="1"/>
  <c r="S74" i="14"/>
  <c r="V74" i="14" s="1"/>
  <c r="N74" i="14"/>
  <c r="P74" i="14" s="1"/>
  <c r="S73" i="14"/>
  <c r="V73" i="14" s="1"/>
  <c r="M73" i="14"/>
  <c r="N73" i="14" s="1"/>
  <c r="P73" i="14" s="1"/>
  <c r="N72" i="14"/>
  <c r="P72" i="14" s="1"/>
  <c r="Q72" i="14" s="1"/>
  <c r="S72" i="14"/>
  <c r="V72" i="14" s="1"/>
  <c r="N71" i="14"/>
  <c r="P71" i="14" s="1"/>
  <c r="S71" i="14"/>
  <c r="V71" i="14" s="1"/>
  <c r="N70" i="14"/>
  <c r="P70" i="14" s="1"/>
  <c r="Q70" i="14" s="1"/>
  <c r="S70" i="14"/>
  <c r="V70" i="14" s="1"/>
  <c r="N69" i="14"/>
  <c r="P69" i="14" s="1"/>
  <c r="Q69" i="14" s="1"/>
  <c r="S69" i="14"/>
  <c r="V69" i="14" s="1"/>
  <c r="S68" i="14"/>
  <c r="V68" i="14" s="1"/>
  <c r="N68" i="14"/>
  <c r="P68" i="14" s="1"/>
  <c r="S67" i="14"/>
  <c r="V67" i="14" s="1"/>
  <c r="N67" i="14"/>
  <c r="Q67" i="14" s="1"/>
  <c r="S66" i="14"/>
  <c r="V66" i="14" s="1"/>
  <c r="N66" i="14"/>
  <c r="N63" i="14"/>
  <c r="P63" i="14" s="1"/>
  <c r="S56" i="14"/>
  <c r="V56" i="14" s="1"/>
  <c r="N53" i="14"/>
  <c r="BL55" i="14"/>
  <c r="N55" i="14"/>
  <c r="N51" i="14"/>
  <c r="S51" i="14" s="1"/>
  <c r="V51" i="14" s="1"/>
  <c r="N50" i="14"/>
  <c r="S50" i="14" s="1"/>
  <c r="V50" i="14" s="1"/>
  <c r="N49" i="14"/>
  <c r="S49" i="14" s="1"/>
  <c r="V49" i="14" s="1"/>
  <c r="N48" i="14"/>
  <c r="S48" i="14" s="1"/>
  <c r="V48" i="14" s="1"/>
  <c r="N47" i="14"/>
  <c r="S47" i="14" s="1"/>
  <c r="V47" i="14" s="1"/>
  <c r="N46" i="14"/>
  <c r="Q46" i="14" s="1"/>
  <c r="N45" i="14"/>
  <c r="S45" i="14" s="1"/>
  <c r="V45" i="14" s="1"/>
  <c r="P52" i="14"/>
  <c r="BL52" i="14"/>
  <c r="N52" i="14"/>
  <c r="S52" i="14" s="1"/>
  <c r="V52" i="14" s="1"/>
  <c r="N43" i="14"/>
  <c r="S43" i="14" s="1"/>
  <c r="V43" i="14" s="1"/>
  <c r="BL121" i="14"/>
  <c r="N121" i="14"/>
  <c r="P121" i="14" s="1"/>
  <c r="BL65" i="14"/>
  <c r="S65" i="14"/>
  <c r="V65" i="14" s="1"/>
  <c r="N65" i="14"/>
  <c r="O65" i="14" s="1"/>
  <c r="S63" i="14"/>
  <c r="V63" i="14" s="1"/>
  <c r="S62" i="14"/>
  <c r="V62" i="14" s="1"/>
  <c r="N62" i="14"/>
  <c r="P62" i="14" s="1"/>
  <c r="N60" i="14"/>
  <c r="P60" i="14" s="1"/>
  <c r="N58" i="14"/>
  <c r="P58" i="14" s="1"/>
  <c r="N57" i="14"/>
  <c r="P57" i="14" s="1"/>
  <c r="N56" i="14"/>
  <c r="O56" i="14" s="1"/>
  <c r="BL53" i="14"/>
  <c r="BL46" i="14"/>
  <c r="BL45" i="14"/>
  <c r="BL43" i="14"/>
  <c r="BL42" i="14"/>
  <c r="BL40" i="14"/>
  <c r="N40" i="14"/>
  <c r="S40" i="14" s="1"/>
  <c r="V40" i="14" s="1"/>
  <c r="BL39" i="14"/>
  <c r="N39" i="14"/>
  <c r="S39" i="14" s="1"/>
  <c r="V39" i="14" s="1"/>
  <c r="N38" i="14"/>
  <c r="P38" i="14" s="1"/>
  <c r="BL37" i="14"/>
  <c r="N37" i="14"/>
  <c r="BL36" i="14"/>
  <c r="N36" i="14"/>
  <c r="S36" i="14" s="1"/>
  <c r="V36" i="14" s="1"/>
  <c r="BL35" i="14"/>
  <c r="N35" i="14"/>
  <c r="S35" i="14" s="1"/>
  <c r="V35" i="14" s="1"/>
  <c r="BL34" i="14"/>
  <c r="AA34" i="14"/>
  <c r="N34" i="14"/>
  <c r="S34" i="14" s="1"/>
  <c r="V34" i="14" s="1"/>
  <c r="BL33" i="14"/>
  <c r="N33" i="14"/>
  <c r="S33" i="14" s="1"/>
  <c r="V33" i="14" s="1"/>
  <c r="BL32" i="14"/>
  <c r="N32" i="14"/>
  <c r="Q32" i="14" s="1"/>
  <c r="BL31" i="14"/>
  <c r="N31" i="14"/>
  <c r="Q31" i="14" s="1"/>
  <c r="BL30" i="14"/>
  <c r="N30" i="14"/>
  <c r="Q30" i="14" s="1"/>
  <c r="BL29" i="14"/>
  <c r="N29" i="14"/>
  <c r="S29" i="14" s="1"/>
  <c r="V29" i="14" s="1"/>
  <c r="BL28" i="14"/>
  <c r="AW28" i="14"/>
  <c r="N28" i="14"/>
  <c r="O28" i="14" s="1"/>
  <c r="BL27" i="14"/>
  <c r="S27" i="14"/>
  <c r="V27" i="14" s="1"/>
  <c r="N27" i="14"/>
  <c r="BL26" i="14"/>
  <c r="N26" i="14"/>
  <c r="S26" i="14" s="1"/>
  <c r="V26" i="14" s="1"/>
  <c r="BL25" i="14"/>
  <c r="N25" i="14"/>
  <c r="S25" i="14" s="1"/>
  <c r="V25" i="14" s="1"/>
  <c r="BL24" i="14"/>
  <c r="AA24" i="14"/>
  <c r="N24" i="14"/>
  <c r="Q24" i="14" s="1"/>
  <c r="BL23" i="14"/>
  <c r="N23" i="14"/>
  <c r="S23" i="14" s="1"/>
  <c r="V23" i="14" s="1"/>
  <c r="BL22" i="14"/>
  <c r="AA22" i="14"/>
  <c r="N22" i="14"/>
  <c r="BL21" i="14"/>
  <c r="N21" i="14"/>
  <c r="S21" i="14" s="1"/>
  <c r="V21" i="14" s="1"/>
  <c r="BL19" i="14"/>
  <c r="N19" i="14"/>
  <c r="BL18" i="14"/>
  <c r="N18" i="14"/>
  <c r="O18" i="14" s="1"/>
  <c r="BL17" i="14"/>
  <c r="N17" i="14"/>
  <c r="P17" i="14" s="1"/>
  <c r="BL16" i="14"/>
  <c r="N16" i="14"/>
  <c r="O16" i="14" s="1"/>
  <c r="BL15" i="14"/>
  <c r="P15" i="14"/>
  <c r="S22" i="14" l="1"/>
  <c r="V22" i="14" s="1"/>
  <c r="Q53" i="14"/>
  <c r="S53" i="14"/>
  <c r="V53" i="14" s="1"/>
  <c r="P19" i="14"/>
  <c r="O19" i="14"/>
  <c r="S37" i="14"/>
  <c r="V37" i="14" s="1"/>
  <c r="O37" i="14"/>
  <c r="Q37" i="14" s="1"/>
  <c r="W67" i="14"/>
  <c r="W79" i="14"/>
  <c r="W88" i="14"/>
  <c r="W96" i="14"/>
  <c r="W109" i="14"/>
  <c r="W70" i="14"/>
  <c r="W72" i="14"/>
  <c r="W97" i="14"/>
  <c r="W120" i="14"/>
  <c r="W76" i="14"/>
  <c r="W89" i="14"/>
  <c r="W104" i="14"/>
  <c r="W100" i="14"/>
  <c r="W69" i="14"/>
  <c r="W84" i="14"/>
  <c r="W90" i="14"/>
  <c r="W92" i="14"/>
  <c r="Q102" i="14"/>
  <c r="S102" i="14"/>
  <c r="V102" i="14" s="1"/>
  <c r="Q117" i="14"/>
  <c r="W117" i="14" s="1"/>
  <c r="Q121" i="14"/>
  <c r="W121" i="14" s="1"/>
  <c r="P114" i="14"/>
  <c r="Q114" i="14" s="1"/>
  <c r="W114" i="14" s="1"/>
  <c r="Q110" i="14"/>
  <c r="W110" i="14" s="1"/>
  <c r="P111" i="14"/>
  <c r="Q111" i="14" s="1"/>
  <c r="W111" i="14" s="1"/>
  <c r="Q112" i="14"/>
  <c r="W112" i="14" s="1"/>
  <c r="P113" i="14"/>
  <c r="Q113" i="14" s="1"/>
  <c r="W113" i="14" s="1"/>
  <c r="Q118" i="14"/>
  <c r="W118" i="14" s="1"/>
  <c r="P119" i="14"/>
  <c r="Q119" i="14" s="1"/>
  <c r="W119" i="14" s="1"/>
  <c r="Q116" i="14"/>
  <c r="W116" i="14" s="1"/>
  <c r="P103" i="14"/>
  <c r="Q103" i="14" s="1"/>
  <c r="W103" i="14" s="1"/>
  <c r="P105" i="14"/>
  <c r="Q105" i="14" s="1"/>
  <c r="W105" i="14" s="1"/>
  <c r="Q75" i="14"/>
  <c r="W75" i="14" s="1"/>
  <c r="Q106" i="14"/>
  <c r="W106" i="14" s="1"/>
  <c r="Q108" i="14"/>
  <c r="W108" i="14" s="1"/>
  <c r="Q107" i="14"/>
  <c r="W107" i="14" s="1"/>
  <c r="P101" i="14"/>
  <c r="Q101" i="14" s="1"/>
  <c r="W101" i="14" s="1"/>
  <c r="Q78" i="14"/>
  <c r="W78" i="14" s="1"/>
  <c r="P95" i="14"/>
  <c r="Q95" i="14" s="1"/>
  <c r="W95" i="14" s="1"/>
  <c r="P87" i="14"/>
  <c r="Q87" i="14" s="1"/>
  <c r="W87" i="14" s="1"/>
  <c r="Q98" i="14"/>
  <c r="W98" i="14" s="1"/>
  <c r="Q77" i="14"/>
  <c r="W77" i="14" s="1"/>
  <c r="P85" i="14"/>
  <c r="Q85" i="14" s="1"/>
  <c r="W85" i="14" s="1"/>
  <c r="Q94" i="14"/>
  <c r="W94" i="14" s="1"/>
  <c r="Q93" i="14"/>
  <c r="W93" i="14" s="1"/>
  <c r="Q91" i="14"/>
  <c r="W91" i="14" s="1"/>
  <c r="Q86" i="14"/>
  <c r="W86" i="14" s="1"/>
  <c r="Q74" i="14"/>
  <c r="W74" i="14" s="1"/>
  <c r="Q68" i="14"/>
  <c r="W68" i="14" s="1"/>
  <c r="P83" i="14"/>
  <c r="Q83" i="14" s="1"/>
  <c r="W83" i="14" s="1"/>
  <c r="S60" i="14"/>
  <c r="V60" i="14" s="1"/>
  <c r="P66" i="14"/>
  <c r="Q66" i="14" s="1"/>
  <c r="W66" i="14" s="1"/>
  <c r="Q71" i="14"/>
  <c r="W71" i="14" s="1"/>
  <c r="Q73" i="14"/>
  <c r="W73" i="14" s="1"/>
  <c r="Q60" i="14"/>
  <c r="Q57" i="14"/>
  <c r="S57" i="14"/>
  <c r="V57" i="14" s="1"/>
  <c r="P55" i="14"/>
  <c r="Q55" i="14" s="1"/>
  <c r="S55" i="14"/>
  <c r="V55" i="14" s="1"/>
  <c r="Q50" i="14"/>
  <c r="W50" i="14" s="1"/>
  <c r="S46" i="14"/>
  <c r="V46" i="14" s="1"/>
  <c r="W46" i="14" s="1"/>
  <c r="P49" i="14"/>
  <c r="Q49" i="14" s="1"/>
  <c r="W49" i="14" s="1"/>
  <c r="Q47" i="14"/>
  <c r="W47" i="14" s="1"/>
  <c r="O52" i="14"/>
  <c r="Q52" i="14" s="1"/>
  <c r="W52" i="14" s="1"/>
  <c r="P51" i="14"/>
  <c r="Q48" i="14" s="1"/>
  <c r="W48" i="14" s="1"/>
  <c r="P45" i="14"/>
  <c r="Q45" i="14" s="1"/>
  <c r="W45" i="14" s="1"/>
  <c r="P25" i="14"/>
  <c r="Q25" i="14" s="1"/>
  <c r="W25" i="14" s="1"/>
  <c r="P29" i="14"/>
  <c r="Q29" i="14" s="1"/>
  <c r="W29" i="14" s="1"/>
  <c r="Q43" i="14"/>
  <c r="W43" i="14" s="1"/>
  <c r="O15" i="14"/>
  <c r="Q15" i="14" s="1"/>
  <c r="P21" i="14"/>
  <c r="Q21" i="14" s="1"/>
  <c r="W21" i="14" s="1"/>
  <c r="S18" i="14"/>
  <c r="V18" i="14" s="1"/>
  <c r="S38" i="14"/>
  <c r="V38" i="14" s="1"/>
  <c r="Q17" i="14"/>
  <c r="P18" i="14"/>
  <c r="Q18" i="14" s="1"/>
  <c r="V24" i="14"/>
  <c r="W24" i="14" s="1"/>
  <c r="P28" i="14"/>
  <c r="Q28" i="14" s="1"/>
  <c r="W28" i="14" s="1"/>
  <c r="S30" i="14"/>
  <c r="V30" i="14" s="1"/>
  <c r="W30" i="14" s="1"/>
  <c r="S19" i="14"/>
  <c r="V19" i="14" s="1"/>
  <c r="S15" i="14"/>
  <c r="V15" i="14" s="1"/>
  <c r="P39" i="14"/>
  <c r="Q39" i="14" s="1"/>
  <c r="W39" i="14" s="1"/>
  <c r="S31" i="14"/>
  <c r="V31" i="14" s="1"/>
  <c r="W31" i="14" s="1"/>
  <c r="S16" i="14"/>
  <c r="V16" i="14" s="1"/>
  <c r="S28" i="14"/>
  <c r="S32" i="14"/>
  <c r="V32" i="14" s="1"/>
  <c r="W32" i="14" s="1"/>
  <c r="S17" i="14"/>
  <c r="V17" i="14" s="1"/>
  <c r="Q26" i="14"/>
  <c r="W26" i="14" s="1"/>
  <c r="Q38" i="14"/>
  <c r="Q56" i="14"/>
  <c r="W56" i="14" s="1"/>
  <c r="Q63" i="14"/>
  <c r="W63" i="14" s="1"/>
  <c r="Q23" i="14"/>
  <c r="W23" i="14" s="1"/>
  <c r="Q40" i="14"/>
  <c r="W40" i="14" s="1"/>
  <c r="Q36" i="14"/>
  <c r="W36" i="14" s="1"/>
  <c r="Q22" i="14"/>
  <c r="P16" i="14"/>
  <c r="Q16" i="14" s="1"/>
  <c r="Q34" i="14"/>
  <c r="W34" i="14" s="1"/>
  <c r="Q27" i="14"/>
  <c r="W27" i="14" s="1"/>
  <c r="Q35" i="14"/>
  <c r="W35" i="14" s="1"/>
  <c r="N42" i="14"/>
  <c r="Q65" i="14"/>
  <c r="W65" i="14" s="1"/>
  <c r="Q62" i="14"/>
  <c r="W62" i="14" s="1"/>
  <c r="Q58" i="14"/>
  <c r="W58" i="14" s="1"/>
  <c r="W16" i="14" l="1"/>
  <c r="W22" i="14"/>
  <c r="W53" i="14"/>
  <c r="W37" i="14"/>
  <c r="Q19" i="14"/>
  <c r="W19" i="14" s="1"/>
  <c r="W60" i="14"/>
  <c r="W38" i="14"/>
  <c r="W18" i="14"/>
  <c r="W57" i="14"/>
  <c r="W17" i="14"/>
  <c r="W15" i="14"/>
  <c r="W102" i="14"/>
  <c r="W55" i="14"/>
  <c r="Q51" i="14"/>
  <c r="W51" i="14" s="1"/>
  <c r="P42" i="14"/>
  <c r="S42" i="14"/>
  <c r="V42" i="14" s="1"/>
  <c r="Q33" i="14"/>
  <c r="W33" i="14" s="1"/>
  <c r="Q42" i="14" l="1"/>
  <c r="W42" i="14" s="1"/>
  <c r="M24" i="12" l="1"/>
  <c r="Q24" i="12"/>
  <c r="O24" i="12"/>
  <c r="H24" i="12"/>
  <c r="F24" i="12"/>
</calcChain>
</file>

<file path=xl/sharedStrings.xml><?xml version="1.0" encoding="utf-8"?>
<sst xmlns="http://schemas.openxmlformats.org/spreadsheetml/2006/main" count="1183" uniqueCount="659">
  <si>
    <t>عنوان و موضوع قرارداد</t>
  </si>
  <si>
    <t>مالیات و عوارض
(9%)</t>
  </si>
  <si>
    <t>کسور قراردادی و قانونی</t>
  </si>
  <si>
    <t>قابل پرداخت بابت کل قرارداد</t>
  </si>
  <si>
    <t>واحد پولی قرارداد</t>
  </si>
  <si>
    <t>پیش پرداخت</t>
  </si>
  <si>
    <t>میان پرداخت</t>
  </si>
  <si>
    <t>جمع مبالغ پرداخت شده</t>
  </si>
  <si>
    <t>باقیمانده قابل پرداخت</t>
  </si>
  <si>
    <t>تاریخ پیش پرداخت</t>
  </si>
  <si>
    <t>ريال</t>
  </si>
  <si>
    <t>1398/04/23</t>
  </si>
  <si>
    <t>1399/10/22</t>
  </si>
  <si>
    <t>1399/04/16</t>
  </si>
  <si>
    <t>1400/02/04</t>
  </si>
  <si>
    <t>1399/11/20</t>
  </si>
  <si>
    <t>1399/11/19</t>
  </si>
  <si>
    <t>خط انتقال آب به مخزن میکاپ پروژه احیا مستقیم</t>
  </si>
  <si>
    <t>ایران ترانسفو</t>
  </si>
  <si>
    <t>1399/12/16</t>
  </si>
  <si>
    <t>یورو</t>
  </si>
  <si>
    <t>مبلغ اولیه قرارداد</t>
  </si>
  <si>
    <t>مبلغ نهایی قرارداد</t>
  </si>
  <si>
    <t>ردیف</t>
  </si>
  <si>
    <t>1398/03/20</t>
  </si>
  <si>
    <t>1399/12/25</t>
  </si>
  <si>
    <t xml:space="preserve">ضمانت نامه بابت پیش پرداخت </t>
  </si>
  <si>
    <t xml:space="preserve">ضمانت نامه بابت علی الحساب  </t>
  </si>
  <si>
    <t xml:space="preserve">ضمانت نامه بابت مزایده و مناقصه  </t>
  </si>
  <si>
    <t xml:space="preserve"> شرکت مجتمع معدنی و صنعت آهن و فولاد بافق</t>
  </si>
  <si>
    <t>بسمه تعالی</t>
  </si>
  <si>
    <t>1399/09/15</t>
  </si>
  <si>
    <t>1400/03/22</t>
  </si>
  <si>
    <t>1400/02/01</t>
  </si>
  <si>
    <t>1398/11/10</t>
  </si>
  <si>
    <t>سپرده حسن انجام کار</t>
  </si>
  <si>
    <t xml:space="preserve">سپرده بیمه </t>
  </si>
  <si>
    <t xml:space="preserve">جمع سپرده ها </t>
  </si>
  <si>
    <t xml:space="preserve">چک تضمین  بابت علی الحساب  </t>
  </si>
  <si>
    <t xml:space="preserve">چک تضمین بابت حسن اجرای تعهدات </t>
  </si>
  <si>
    <t xml:space="preserve">چک تضمین بابت پیش پرداخت </t>
  </si>
  <si>
    <t xml:space="preserve">سفته   بابت پیش پرداخت </t>
  </si>
  <si>
    <t xml:space="preserve">سفته  بابت حسن اجرای تعهدات </t>
  </si>
  <si>
    <t>چک ( سایر اسناد تضمینی )</t>
  </si>
  <si>
    <t>سفته ( سایر اسناد تضمینی )</t>
  </si>
  <si>
    <t xml:space="preserve">سفته  بابت علی الحساب  </t>
  </si>
  <si>
    <t xml:space="preserve"> ضمانتنامه   حسن اجرای تعهدات </t>
  </si>
  <si>
    <t>1398/04/03</t>
  </si>
  <si>
    <t>1399/06/05</t>
  </si>
  <si>
    <t>1399/06/17</t>
  </si>
  <si>
    <t xml:space="preserve">شماره چک </t>
  </si>
  <si>
    <t xml:space="preserve">تاریخ </t>
  </si>
  <si>
    <t>1400/04/06</t>
  </si>
  <si>
    <t>1400/06/03</t>
  </si>
  <si>
    <t>1400/07/12</t>
  </si>
  <si>
    <t>1400/09/22</t>
  </si>
  <si>
    <t>1400/10/15</t>
  </si>
  <si>
    <t>1400/10/21</t>
  </si>
  <si>
    <t>1400/11/13</t>
  </si>
  <si>
    <t>1400/11/17</t>
  </si>
  <si>
    <t>1400/11/18</t>
  </si>
  <si>
    <t xml:space="preserve">مبلغ ضمانتنامه پیش پرداخت </t>
  </si>
  <si>
    <t xml:space="preserve">مبلغ ضمانتنامه بابت حسن تعهدات </t>
  </si>
  <si>
    <t xml:space="preserve">تاریخ چک تضمین بابت حسن اجرای تعهدات </t>
  </si>
  <si>
    <t xml:space="preserve">تاریخ چک تضمین بابت پیش پرداخت </t>
  </si>
  <si>
    <t>فولاد تکنیک (ریالی )</t>
  </si>
  <si>
    <t>فولاد تکنیک (ارزی )</t>
  </si>
  <si>
    <t xml:space="preserve">مبلغ چک بابت پرداخت علی الحساب </t>
  </si>
  <si>
    <t>1399/09/17</t>
  </si>
  <si>
    <t>1399/11/12</t>
  </si>
  <si>
    <t xml:space="preserve">شماره قرارداد </t>
  </si>
  <si>
    <t xml:space="preserve">تاریخ سررسیدضمانت نامه بابت پیش پرداخت </t>
  </si>
  <si>
    <t xml:space="preserve">تاریخ سررسید ضمانت نامه بابت علی الحساب  </t>
  </si>
  <si>
    <t xml:space="preserve">تاریخ سررسید  ضمانتنامه   حسن اجرای تعهدات </t>
  </si>
  <si>
    <t>1400/08/30</t>
  </si>
  <si>
    <t>شماره سفارش</t>
  </si>
  <si>
    <t>1399/10/04</t>
  </si>
  <si>
    <t>1400/08/23</t>
  </si>
  <si>
    <t>1400/08/05</t>
  </si>
  <si>
    <t>1399/09/29</t>
  </si>
  <si>
    <t>1400/10/25</t>
  </si>
  <si>
    <t>1400/08/13</t>
  </si>
  <si>
    <t>1400/01/25</t>
  </si>
  <si>
    <t>1400/01/15</t>
  </si>
  <si>
    <t>1399/11/15</t>
  </si>
  <si>
    <t>1400/06/24</t>
  </si>
  <si>
    <t>1400/10/27</t>
  </si>
  <si>
    <t>1400/10/12</t>
  </si>
  <si>
    <t>1400/06/07</t>
  </si>
  <si>
    <t xml:space="preserve">شماره سفارش </t>
  </si>
  <si>
    <t>1400/12/01</t>
  </si>
  <si>
    <t>1400/09/01</t>
  </si>
  <si>
    <t xml:space="preserve">تاریخ اولین پیش پرداخت </t>
  </si>
  <si>
    <t>1400/02/28</t>
  </si>
  <si>
    <t>1400/10/26</t>
  </si>
  <si>
    <t>1400/12/12</t>
  </si>
  <si>
    <t>1401/05/10</t>
  </si>
  <si>
    <t>ADSH-P-PO-GE-107</t>
  </si>
  <si>
    <t>واحد</t>
  </si>
  <si>
    <t>خرید شیرآلات توپی</t>
  </si>
  <si>
    <t>پیشگامان آستیاک صنعت</t>
  </si>
  <si>
    <t>هجده روز کاری از پرداخت پیش پرداخت</t>
  </si>
  <si>
    <t>تاریخ انعقاد قرارداد</t>
  </si>
  <si>
    <t>1401/05/25</t>
  </si>
  <si>
    <t>مدت قرارداد</t>
  </si>
  <si>
    <t>1401/05/24</t>
  </si>
  <si>
    <t>جریمه تاخیر</t>
  </si>
  <si>
    <t>ADSH-P-PO-GE-106</t>
  </si>
  <si>
    <t>یورواسلات پارس</t>
  </si>
  <si>
    <t>Washed Drum &amp; Filters</t>
  </si>
  <si>
    <t>به ازای هر هفته تاخیر، یک درصد از مبلغ کالای تاخیری تا سقف 5درصد قرارداد</t>
  </si>
  <si>
    <t>به ازای هر هفته تاخیر، دو درصد از مبلغ کالای تاخیری تا سقف 10درصد قرارداد</t>
  </si>
  <si>
    <t>ADSH-P-PO-GE-105</t>
  </si>
  <si>
    <t>F&amp;G Cables</t>
  </si>
  <si>
    <t>سیم و کابل مغان</t>
  </si>
  <si>
    <t>1401/05/19</t>
  </si>
  <si>
    <t>صد و بیست روز از تاریخ شروع قرارداد: تاریخ پیش پرداخت یا چهار هفته پس از امضا هر کدام زودتر باشد</t>
  </si>
  <si>
    <t>LC</t>
  </si>
  <si>
    <t>درگاه پرداخت</t>
  </si>
  <si>
    <t>Bank</t>
  </si>
  <si>
    <t>اقلام روشنایی</t>
  </si>
  <si>
    <t>جهان نور</t>
  </si>
  <si>
    <t>ADSH-P-PO-GE-104</t>
  </si>
  <si>
    <t>شصت روز تقویمی پس از تاریخ پیش پرداخت</t>
  </si>
  <si>
    <t>به ازای هر روز تاخیر، نیم درصد از مطالبات یا تضامین تا سقف 20 روز یا 10درصد قرارداد</t>
  </si>
  <si>
    <t>ماشین سازی شمال پیروز</t>
  </si>
  <si>
    <t>چراغ های روشنایی EXP</t>
  </si>
  <si>
    <t>ADSH-P-PO-GE-103</t>
  </si>
  <si>
    <t>1401/05/04</t>
  </si>
  <si>
    <t>پنجاه روز تقویمی پس از ابلاغ و نهایی شدن موارد فنی</t>
  </si>
  <si>
    <t>1401/05/01</t>
  </si>
  <si>
    <t>CW-Hydro</t>
  </si>
  <si>
    <t>Centrifugal Pumps</t>
  </si>
  <si>
    <t>ADSH-P-PO-GE-101</t>
  </si>
  <si>
    <t>1401/04/22</t>
  </si>
  <si>
    <t>ده ماه از تاریخ شروع قرارداد و تایید موارد فنی: تاریخ پیش پرداخت یا چهار هفته پس از امضا هر کدام زودتر باشد</t>
  </si>
  <si>
    <t>ADSH-P-PO-GE-100</t>
  </si>
  <si>
    <t>هرو آسانبر ملل</t>
  </si>
  <si>
    <t>نصب و راه اندازی یک دستگاه آسانسور گیرلس</t>
  </si>
  <si>
    <t>1401/04/08</t>
  </si>
  <si>
    <t>شصت روز تقویمی پس از امضا و تسلیم تضامین بعلاوه پانزده روز مهلت نصب از تاریخ اعلام فروشنده مبنی بر آغاز عملیات</t>
  </si>
  <si>
    <t>به ازای هر روز تاخیر، دو دهم درصد از مطالبات یا تضامین تا سقف 50 روز یا 10درصد قرارداد</t>
  </si>
  <si>
    <t>ADSH-P-PO-GE-99</t>
  </si>
  <si>
    <t>Manual Valves</t>
  </si>
  <si>
    <t>1401/05/12</t>
  </si>
  <si>
    <t>Tradic LTD</t>
  </si>
  <si>
    <t>هشتاد روز از تاریخ شروع قرارداد: تاریخ پیش پرداخت یا پنج روز پس از امضا هر کدام زودتر باشد</t>
  </si>
  <si>
    <t>با اعمال یک هفته مهلت، به ازای هر هفته تاخیر یک درصد از مبلغ کل کالا تا سقف 5 درصد</t>
  </si>
  <si>
    <t>جهان عایق پارس</t>
  </si>
  <si>
    <t>ADSH-P-PO-GE-98</t>
  </si>
  <si>
    <t>شصت روز تقویمی پس از ابلاغ قرارداد</t>
  </si>
  <si>
    <t>ساخت و تحویل عایق گرم و سرد و آلومینیوم</t>
  </si>
  <si>
    <t>ADSH-P-PO-GE-97</t>
  </si>
  <si>
    <t>Steel Structure, Pipe Rack, Grating Handrail &amp; Ladder/Stair</t>
  </si>
  <si>
    <t>1401/04/09</t>
  </si>
  <si>
    <t>چهار ماه از تاریخ پیش پرداخت</t>
  </si>
  <si>
    <t>پس از مهلت دو هفته ای، به ازای هر هفته تاخیر، دو درصد از مبلغ کالای تاخیری تا سقف 10درصد قرارداد</t>
  </si>
  <si>
    <t>ADSH-P-PO-GE-96</t>
  </si>
  <si>
    <t>Reactor, Tower, Vessel &amp; Heat Exchanger</t>
  </si>
  <si>
    <t>Ensol Inc.</t>
  </si>
  <si>
    <t>1401/03/30</t>
  </si>
  <si>
    <t>دویست و هفتاد روز از تاریخ شروع قرارداد: تاریخ پیش پرداخت یا دو هفته پس از امضا هر کدام زودتر باشد</t>
  </si>
  <si>
    <t>پس از مهلت دو هفته ای، به ازای هر هفته تاخیر، یک درصد از مبلغ کل سفارش تا سقف 5 درصد قرارداد</t>
  </si>
  <si>
    <t>1401/03/25</t>
  </si>
  <si>
    <t>نکا نوین</t>
  </si>
  <si>
    <t>ADSH-P-PO-GE-95</t>
  </si>
  <si>
    <t>اقلام نردبان و سینی کابل</t>
  </si>
  <si>
    <t>نود روز تقویمی پس از ابلاغ قرارداد</t>
  </si>
  <si>
    <t>ADSH-P-PO-GE-94</t>
  </si>
  <si>
    <t>هیراد کیان ایده تامین</t>
  </si>
  <si>
    <t>Strainer</t>
  </si>
  <si>
    <t>1401/03/17</t>
  </si>
  <si>
    <t>تاریخ های مشخص</t>
  </si>
  <si>
    <t>TAPCO</t>
  </si>
  <si>
    <t>Reciprocating Compressors</t>
  </si>
  <si>
    <t>1401/03/16</t>
  </si>
  <si>
    <t>ADSH-P-PO-GE-93</t>
  </si>
  <si>
    <t>14 الی 16 ماه از تاریخ شروع قرارداد: تاریخ پیش پرداخت یا پنج هفته پس از امضا هر کدام زودتر باشد</t>
  </si>
  <si>
    <t>ADSH-P-PO-GE-92</t>
  </si>
  <si>
    <t>1401/03/13</t>
  </si>
  <si>
    <t>هفتاد روز از تاریخ شروع قرارداد: تاریخ پیش پرداخت یا پنج روز پس از امضا هر کدام زودتر باشد</t>
  </si>
  <si>
    <t>1401/03/03</t>
  </si>
  <si>
    <t>ADSH-P-PO-GE-91</t>
  </si>
  <si>
    <t>Pressure Safety Relief Valves</t>
  </si>
  <si>
    <t>CAD</t>
  </si>
  <si>
    <t>پس از مهلت دو هفته ای، به ازای هر هفته تاخیر، دو درصد از مبلغ کل سفارش تا سقف 10 درصد قرارداد</t>
  </si>
  <si>
    <t>22 هفته از تاریخ پیش پرداخت</t>
  </si>
  <si>
    <t>ADSH-P-PO-GE-90</t>
  </si>
  <si>
    <t>سینا کنترل</t>
  </si>
  <si>
    <t>24 هفته از تاریخ پیش پرداخت</t>
  </si>
  <si>
    <t>پس از مهلت دو هفته ای، به ازای هر هفته تاخیر، 2 درصد از مبلغ کل سفارش تا سقف 10 درصد قرارداد</t>
  </si>
  <si>
    <t>Orifice Plate &amp; Flanges &amp; Restriction Orifice</t>
  </si>
  <si>
    <t>1401/02/28</t>
  </si>
  <si>
    <t>1401/02/22</t>
  </si>
  <si>
    <t>1401/03/24</t>
  </si>
  <si>
    <t>ADSH-P-PO-GE-89</t>
  </si>
  <si>
    <t>پترو انرژی خلیج فارس</t>
  </si>
  <si>
    <t>اقلام اکسسوری مخازن</t>
  </si>
  <si>
    <t>10 هفته از تاریخ ابلاغ</t>
  </si>
  <si>
    <t>ADSH-P-PO-GE-88</t>
  </si>
  <si>
    <t>Karajet</t>
  </si>
  <si>
    <t>Ejectors</t>
  </si>
  <si>
    <t>1401/03/02</t>
  </si>
  <si>
    <t>4 ماه از تاریخ پیش پرداخت</t>
  </si>
  <si>
    <t>ADSH-P-PO-GE-87</t>
  </si>
  <si>
    <t>ULBC Co. LTD</t>
  </si>
  <si>
    <t>Steam Traps</t>
  </si>
  <si>
    <t>1401/02/20</t>
  </si>
  <si>
    <t>4 ماه از تاریخ شروع قرارداد: تاریخ پیش پرداخت یا چهار هفته پس از امضا هر کدام زودتر باشد</t>
  </si>
  <si>
    <t>ADSH-P-PO-GE-86</t>
  </si>
  <si>
    <t>1401/02/07</t>
  </si>
  <si>
    <t>برق و تاسیسات داریان</t>
  </si>
  <si>
    <t>تابلوهای برق</t>
  </si>
  <si>
    <t>6 الی 8 هفته پس از ابلاغ قرارداد</t>
  </si>
  <si>
    <t>ADSH-P-PO-GE-85</t>
  </si>
  <si>
    <t>4 عدد تابلو برق</t>
  </si>
  <si>
    <t>16 الی 18 هفته پس از ابلاغ قرارداد</t>
  </si>
  <si>
    <t>ADSH-P-PO-GE-84</t>
  </si>
  <si>
    <t>1401/02/06</t>
  </si>
  <si>
    <t>RMT Valvomeccanica S.R.L</t>
  </si>
  <si>
    <t xml:space="preserve"> 18 هفته کاری از تاریخ پیش پرداخت و تایید مدارک فنی</t>
  </si>
  <si>
    <t>67 Control Valves &amp; 22 ON/OFF Valves</t>
  </si>
  <si>
    <t>ADSH-P-PO-GE-83</t>
  </si>
  <si>
    <t>سیم و کابل یزد</t>
  </si>
  <si>
    <t>F&amp;G Cables and LV &amp; MV Power &amp; Control Cables</t>
  </si>
  <si>
    <t>1401/02/17</t>
  </si>
  <si>
    <t>120 روز از تاریخ پیش پرداخت یا 4 هفته پس از امضا هر کدام زودتر باشد</t>
  </si>
  <si>
    <t>ADSH-P-PO-GE-82</t>
  </si>
  <si>
    <t>اقلام پیچ و مهره</t>
  </si>
  <si>
    <t>پارت سازی مشهد</t>
  </si>
  <si>
    <t>1401/02/14</t>
  </si>
  <si>
    <t>8 هفته تقویمی پس از ابلاغ قرارداد</t>
  </si>
  <si>
    <t>ADSH-P-PO-GE-80</t>
  </si>
  <si>
    <t>Power Plant Hall</t>
  </si>
  <si>
    <t>90 روز از تاریخ امضای الحاقیه قرارداد: 1401/05/18</t>
  </si>
  <si>
    <t>شرکت مهندسی پایا صنعت تیران</t>
  </si>
  <si>
    <t>Rolling Ladder</t>
  </si>
  <si>
    <t>ADSH-P-PO-GE-79</t>
  </si>
  <si>
    <t>1401/01/23</t>
  </si>
  <si>
    <t>60 روز پس از ابلاغ قرارداد</t>
  </si>
  <si>
    <t>ADSH-P-PO-GE-77</t>
  </si>
  <si>
    <t>نوین دانش آینده</t>
  </si>
  <si>
    <t>ADSH-P-PO-GE-70</t>
  </si>
  <si>
    <t>واشرسازی بهتا</t>
  </si>
  <si>
    <t>اقلام گسکت</t>
  </si>
  <si>
    <t>1400/07/09</t>
  </si>
  <si>
    <t>1400/10/14</t>
  </si>
  <si>
    <t>1401/01/21</t>
  </si>
  <si>
    <t>6 ماه از تاریخ شروع قرارداد: تاریخ پیش پرداخت یا چهار هفته پس از امضا هر کدام زودتر باشد</t>
  </si>
  <si>
    <t>ADSH-P-PO-GE-76</t>
  </si>
  <si>
    <t>1400/12/19</t>
  </si>
  <si>
    <t>13 ماه از تاریخ شروع قرارداد: تاریخ پیش پرداخت یا چهار هفته پس از امضا هر کدام زودتر باشد</t>
  </si>
  <si>
    <t>ADSH-P-PO-GE-75</t>
  </si>
  <si>
    <t>اقلام سایلنسر ونت</t>
  </si>
  <si>
    <t>4 ماه کاری از تاریخ ابلاغ</t>
  </si>
  <si>
    <t>ADSH-P-PO-GE-74</t>
  </si>
  <si>
    <t>ساخت ایستگاه گاز 50.000 متر مکعبی</t>
  </si>
  <si>
    <t>شرکت سیستمهای صنعتی سامان</t>
  </si>
  <si>
    <t>1400/09/29</t>
  </si>
  <si>
    <t>8 ماه از تاریخ شروع قرارداد: تاریخ پیش پرداخت یا چهار هفته پس از امضا هر کدام زودتر باشد</t>
  </si>
  <si>
    <t>ADSH-P-PO-GE-73</t>
  </si>
  <si>
    <t>1400/09/27</t>
  </si>
  <si>
    <t>Sample Cooler</t>
  </si>
  <si>
    <t>صنعت پروژه توس</t>
  </si>
  <si>
    <t>4 ماه تقویمی از تاریخ ابلاغ</t>
  </si>
  <si>
    <t>برنا الکترونیک</t>
  </si>
  <si>
    <t>اقلام مقاومت زمین شامل سیستم NGR</t>
  </si>
  <si>
    <t>1400/09/24</t>
  </si>
  <si>
    <t>90 روز تقویمی پس از ابلاغ قرارداد</t>
  </si>
  <si>
    <t>ADSH-P-PO-GE-72</t>
  </si>
  <si>
    <t>به ازای هر روز تاخیر، یک دهم درصد از مطالبات یا تضامین تا سقف 50 روز یا 10 درصد قرارداد</t>
  </si>
  <si>
    <t>ADSH-P-PO-GE-71</t>
  </si>
  <si>
    <t>فاتح صنعت کیمیا</t>
  </si>
  <si>
    <t>Towers, Vessels, Heat Exchanger, Air Cooler, Reactors</t>
  </si>
  <si>
    <t>1400/10/08</t>
  </si>
  <si>
    <t>12 الی 13 ماه از تاریخ شروع قرارداد: تاریخ پیش پرداخت یا چهار هفته پس از امضا هر کدام زودتر باشد</t>
  </si>
  <si>
    <t>ADSH-P-PO-GE-67</t>
  </si>
  <si>
    <t>خرید تجهیزات آزمایشگاهی و تامین سکوبندی و سیستم انتقال گاز آزمایشگاه</t>
  </si>
  <si>
    <t>رایتک پویا</t>
  </si>
  <si>
    <t>1400/08/10</t>
  </si>
  <si>
    <t>1401/05/18</t>
  </si>
  <si>
    <t>8 ماه تقویمی از تاریخ امضای قرارداد</t>
  </si>
  <si>
    <t>ADSH-P-PO-GE-69</t>
  </si>
  <si>
    <t>1400/09/10</t>
  </si>
  <si>
    <t>4.5 ماه از تاریخ شروع قرارداد: تاریخ پیش پرداخت یا چهار هفته پس از امضا هر کدام زودتر باشد</t>
  </si>
  <si>
    <t>ADSH-P-PO-GE-66</t>
  </si>
  <si>
    <t>1400/08/01</t>
  </si>
  <si>
    <t>1400/08/17</t>
  </si>
  <si>
    <t>128 روز تقویمی از تاریخ پیش پرداخت</t>
  </si>
  <si>
    <t>ADSH-P-PO-GE-65</t>
  </si>
  <si>
    <t>Self-Cleaning Filter Rotor HP</t>
  </si>
  <si>
    <t>Ring Field DWC LLC</t>
  </si>
  <si>
    <t>1400/07/03</t>
  </si>
  <si>
    <t>60 روز تقویمی از تاریخ امضای قرارداد</t>
  </si>
  <si>
    <t>ADSH-P-PO-GE-64</t>
  </si>
  <si>
    <t>ADSH-P-PO-GE-36</t>
  </si>
  <si>
    <t>ADSH-P-PO-GE-25</t>
  </si>
  <si>
    <t>ADSH-P-PO-GE-47</t>
  </si>
  <si>
    <t>ADSH-P-PO-GE-39</t>
  </si>
  <si>
    <t>ADSH-P-PO-GE-28</t>
  </si>
  <si>
    <t>آبسان زلال خاورمیانه</t>
  </si>
  <si>
    <t>1400/06/30</t>
  </si>
  <si>
    <t>Waste Water Treatment Package</t>
  </si>
  <si>
    <t>9 ماه تقویمی از تاریخ امضای قرارداد</t>
  </si>
  <si>
    <t>KTI- Fire Heater Co.</t>
  </si>
  <si>
    <t>HDS Charge &amp; Splitter Reboiler Heaters</t>
  </si>
  <si>
    <t>13 هفته تقویمی از تاریخ شروع قرارداد: تاریخ پیش پرداخت یا چهار هفته پس از امضا هر کدام زودتر باشد</t>
  </si>
  <si>
    <t>ADSH-P-PO-GE-62</t>
  </si>
  <si>
    <t>ADSH-P-PO-GE-60</t>
  </si>
  <si>
    <t>Lighting &amp; Sockets</t>
  </si>
  <si>
    <t>گلنور</t>
  </si>
  <si>
    <t>1400/05/05</t>
  </si>
  <si>
    <t>120 روز  از تاریخ پیش پرداخت</t>
  </si>
  <si>
    <t>ADSH-P-PO-GE-59</t>
  </si>
  <si>
    <t>Steel Structure</t>
  </si>
  <si>
    <t>تحکیم سازان</t>
  </si>
  <si>
    <t>1400/05/04</t>
  </si>
  <si>
    <t>30 روز  از تاریخ پیش پرداخت</t>
  </si>
  <si>
    <t>ADSH-P-PO-GE-57</t>
  </si>
  <si>
    <t>تجهیزات برقی لنا یزد</t>
  </si>
  <si>
    <t>خرید تابلو برق</t>
  </si>
  <si>
    <t>تامین تجهیز پارت کیهان</t>
  </si>
  <si>
    <t>ADSH-P-PO-GE-56</t>
  </si>
  <si>
    <t>De-Oiling &amp; Water Polishing Packages</t>
  </si>
  <si>
    <t>1400/02/21</t>
  </si>
  <si>
    <t>9 ماه از تاریخ شروع قرارداد: تاریخ پیش پرداخت یا چهار هفته پس از امضا هر کدام زودتر باشد</t>
  </si>
  <si>
    <t>ADSH-P-PO-GE-55</t>
  </si>
  <si>
    <t>خرید ورق</t>
  </si>
  <si>
    <t>اریس اوکسین</t>
  </si>
  <si>
    <t>60 روز تقویمی از تاریخ پیش پرداخت</t>
  </si>
  <si>
    <t>به ازای هر روز تاخیر، یک دهم درصد از مطالبات یا تضامین تا سقف 50 روز یا 10درصد قرارداد</t>
  </si>
  <si>
    <t>ریال</t>
  </si>
  <si>
    <t>1400/03/08</t>
  </si>
  <si>
    <t>ADSH-P-PO-GE-54</t>
  </si>
  <si>
    <t>Kwb Co.</t>
  </si>
  <si>
    <t>Desuperheater</t>
  </si>
  <si>
    <t>1400/02/19</t>
  </si>
  <si>
    <t>ADSH-P-PO-GE-53</t>
  </si>
  <si>
    <t>1400/02/07</t>
  </si>
  <si>
    <t>26 هفته از تاریخ پیش پرداخت</t>
  </si>
  <si>
    <t>گداختار</t>
  </si>
  <si>
    <t>1400/01/23</t>
  </si>
  <si>
    <t>18 تا 24 ماه از تاریخ شروع قرارداد: تاریخ پیش پرداخت یا پنج هفته پس از امضا هر کدام زودتر باشد</t>
  </si>
  <si>
    <t>ADSH-P-PO-GE-52</t>
  </si>
  <si>
    <t>ADSH-P-PO-GE-51</t>
  </si>
  <si>
    <t>Truck Loading Arms</t>
  </si>
  <si>
    <t>Asia Instrument Co.</t>
  </si>
  <si>
    <t>6 هفته از تاریخ تایید نقشه های مهندسی</t>
  </si>
  <si>
    <t>انرژی کویر پایا</t>
  </si>
  <si>
    <t>ADSH-P-PO-GE-50</t>
  </si>
  <si>
    <t>Electrical Heater</t>
  </si>
  <si>
    <t>1400/06/06</t>
  </si>
  <si>
    <t>100 روز تقویمی از تاریخ شروع قرارداد: تاریخ پیش پرداخت یا شش هفته پس از امضا هر کدام زودتر باشد</t>
  </si>
  <si>
    <t>ADSH-P-PO-GE-49</t>
  </si>
  <si>
    <t>LV Switchgear &amp; MCC</t>
  </si>
  <si>
    <t>ایران تابلو</t>
  </si>
  <si>
    <t>1400/01/17</t>
  </si>
  <si>
    <t>5 ماه از تاریخ پیش پرداخت</t>
  </si>
  <si>
    <t>7 ماه از تاریخ پیش پرداخت
تمدید شد: تا تاریخ 1401/09/30</t>
  </si>
  <si>
    <t>ADSH-P-PO-GE-48</t>
  </si>
  <si>
    <t>Flare Package</t>
  </si>
  <si>
    <t>پارت اول 7 ماه از تاریخ پیش پرداخت
پارت دوم 5 ماه از تاریخ پرداخت پارت اول</t>
  </si>
  <si>
    <t>پس از مهلت دو هفته ای، به ازای هر هفته تاخیر، نیم درصد از مبلغ کل سفارش تا سقف 5 درصد قرارداد</t>
  </si>
  <si>
    <t>Fire Water Pump</t>
  </si>
  <si>
    <t>38 هفته از تاریخ پیش پرداخت</t>
  </si>
  <si>
    <t>ADSH-P-PO-GE-46</t>
  </si>
  <si>
    <t>پارس کویر اروند</t>
  </si>
  <si>
    <t>DC Battery Charger &amp; AC UPS</t>
  </si>
  <si>
    <t>ADSH-P-PO-GE-45</t>
  </si>
  <si>
    <t>7 ماه شمسی از تاریخ امضای قرارداد</t>
  </si>
  <si>
    <t>ADSH-P-PO-GE-44</t>
  </si>
  <si>
    <t>SISI Co.</t>
  </si>
  <si>
    <t>Fire Fighting Equipment</t>
  </si>
  <si>
    <t>1399/08/06</t>
  </si>
  <si>
    <t>ADSH-P-PO-GE-43</t>
  </si>
  <si>
    <t>Inert Gas System, Foam System, PIV Valve</t>
  </si>
  <si>
    <t>1399/07/16</t>
  </si>
  <si>
    <t>1399/04/30</t>
  </si>
  <si>
    <t>120 روز از تاریخ امضای قرارداد</t>
  </si>
  <si>
    <t>ADSH-P-PO-GE-38</t>
  </si>
  <si>
    <t>Bedford Trading FZE (Leser GmbH)</t>
  </si>
  <si>
    <t>1399/05/11</t>
  </si>
  <si>
    <t>8 ماه از تاریخ پیش پرداخت</t>
  </si>
  <si>
    <t>ADSH-P-PO-GE-37</t>
  </si>
  <si>
    <t>Fiscal Metering System &amp; Mobile Prover Package</t>
  </si>
  <si>
    <t>1399/05/30</t>
  </si>
  <si>
    <t>12 ماه تقویمی از تاریخ امضای قرارداد
تمدید شد: تا تاریخ 1401/07/09</t>
  </si>
  <si>
    <t>Steam Package</t>
  </si>
  <si>
    <t>1399/06/24</t>
  </si>
  <si>
    <t>12 ماه از تاریخ شروع قرارداد: تاریخ پیش پرداخت یا پنج هفته پس از امضا هر کدام زودتر باشد
تمدید شد: تا تاریخ 1401/09/10</t>
  </si>
  <si>
    <t>ADSH-P-PO-GE-35</t>
  </si>
  <si>
    <t>Roodhart MENA DWC LLC</t>
  </si>
  <si>
    <t>1399/07/03</t>
  </si>
  <si>
    <t>16 ماه از تاریخ پیش پرداخت</t>
  </si>
  <si>
    <t>پس از مهلت دو هفته ای، به ازای هر هفته تاخیر، دو درصد از مبلغ کل سفارش تا سقف 5 درصد قرارداد</t>
  </si>
  <si>
    <t>1398/12/26</t>
  </si>
  <si>
    <t>ADSH-P-PO-GE-34</t>
  </si>
  <si>
    <t>ADSH-P-PO-GE-33</t>
  </si>
  <si>
    <t>1401/07/25</t>
  </si>
  <si>
    <t>Pars Telecom Co.</t>
  </si>
  <si>
    <t>Radio System</t>
  </si>
  <si>
    <t>ADSH-P-PO-GE-32</t>
  </si>
  <si>
    <t>1399/01/30</t>
  </si>
  <si>
    <t>Medium Voltage Switchgear</t>
  </si>
  <si>
    <t>7 ماه تقویمی از تاریخ امضای قرارداد
تمدید شد: تا تاریخ 1401/09/30</t>
  </si>
  <si>
    <t>پس از مهلت دو هفته ای، به ازای هر هفته تاخیر، یک درصد از مبلغ کل سفارش تا سقف 10 درصد قرارداد</t>
  </si>
  <si>
    <t>ADSH-P-PO-GE-31</t>
  </si>
  <si>
    <t>3 Sets of Heater</t>
  </si>
  <si>
    <t>15 ماه از تاریخ شروع قرارداد: تاریخ پیش پرداخت یا پنج هفته پس از امضا هر کدام زودتر باشد</t>
  </si>
  <si>
    <t>پس از مهلت دو هفته ای، به ازای هر هفته تاخیر، یک ونیم درصد از مبلغ کل سفارش تا سقف 10 درصد قرارداد</t>
  </si>
  <si>
    <t>15 ماه از تاریخ شروع قرارداد برابر با 1399/07/26
تمدید شد: تا تاریخ 1401/09/10</t>
  </si>
  <si>
    <t>ADSH-P-PO-GE-30</t>
  </si>
  <si>
    <t>پرگاسیران</t>
  </si>
  <si>
    <t>Filters &amp; Coalescer Package</t>
  </si>
  <si>
    <t>1399/01/17</t>
  </si>
  <si>
    <t>8 ماه از تاریخ شروع قرارداد: تاریخ پیش پرداخت یا پنج هفته پس از امضا هر کدام زودتر باشد
تمدید شد: 1400/03/29</t>
  </si>
  <si>
    <t>1398/11/05</t>
  </si>
  <si>
    <t>ADSH-P-PO-GE-29</t>
  </si>
  <si>
    <t>Pressure Vessels, Tower, Exchanger, Air Coolers</t>
  </si>
  <si>
    <t>1398/10/28</t>
  </si>
  <si>
    <t>تهویه</t>
  </si>
  <si>
    <t>Heating, Ventilation &amp; Air Conditioning Package</t>
  </si>
  <si>
    <t>7 ماه از تاریخ شروع قرارداد: تاریخ پیش پرداخت یا پنج هفته پس از امضا هر کدام زودتر باشد.
تمدید شد: تا تاریخ 1401/06/15</t>
  </si>
  <si>
    <t>ADSH-P-PO-GE-27</t>
  </si>
  <si>
    <t>Tank Gauging System</t>
  </si>
  <si>
    <t>1398/10/24</t>
  </si>
  <si>
    <t>8 ماه از تاریخ امضای قرارداد</t>
  </si>
  <si>
    <t>پس از مهلت دو هفته ای، به ازای هر هفته تاخیر، دو درصد از مبلغ کل سفارش تا سقف 14 درصد قرارداد</t>
  </si>
  <si>
    <t>ADSH-P-PO-GE-26</t>
  </si>
  <si>
    <t>HDPE Pipng Materials</t>
  </si>
  <si>
    <t>PES Co.</t>
  </si>
  <si>
    <t>1398/10/04</t>
  </si>
  <si>
    <t>تا تاریخ 1399/02/30
تمدید شد: تا تاریخ 1399/09/30</t>
  </si>
  <si>
    <t>Anchor Bolts, Nuts, Washers, Plates &amp; Sleeves</t>
  </si>
  <si>
    <t>نیکان تک ایرانیان</t>
  </si>
  <si>
    <t>1398/08/18</t>
  </si>
  <si>
    <t>3 هفته از تاریخ امضای قرارداد</t>
  </si>
  <si>
    <t>ADSH-P-PO-GE-24</t>
  </si>
  <si>
    <t>دقیق سازان</t>
  </si>
  <si>
    <t>1398/08/15</t>
  </si>
  <si>
    <t>6 ماه از تاریخ امضای قرارداد</t>
  </si>
  <si>
    <t>ADSH-P-PO-GE-23</t>
  </si>
  <si>
    <t>Zaffertec S.L.U</t>
  </si>
  <si>
    <t>Pipe, Fitting, Flange- Local Suply</t>
  </si>
  <si>
    <t>Pipe, Fitting, Flange- Foreign Suply</t>
  </si>
  <si>
    <t>6 ماه از تاریخ موثر شدن قرارداد (نهایی شدن LC)</t>
  </si>
  <si>
    <t>به ازای هر هفته تاخیر، نیم درصد از مبلغ کالای تاخیری تا سقف 5درصد قرارداد</t>
  </si>
  <si>
    <t>1398/08/11</t>
  </si>
  <si>
    <t>ADSH-P-PO-GE-22</t>
  </si>
  <si>
    <t>تا تاریخ 1398/10/10</t>
  </si>
  <si>
    <t>ADSH-P-PO-GE-21</t>
  </si>
  <si>
    <t>تهران جوان</t>
  </si>
  <si>
    <t>1398/08/20</t>
  </si>
  <si>
    <t>12 ماه از تاریخ امضای قرارداد</t>
  </si>
  <si>
    <t>Injection Package, Pump, Mixer &amp; Static Mixer</t>
  </si>
  <si>
    <t>12 ماه از تاریخ امضای قرارداد
تمدید شد: موارد قبل از الحاقیه 3 تا تاریخ 1400/09/09
موارد موضوع الحاقیه 3 تا تاریخ 40 هفته پس از 1400/03/10
موارد موضوع الحاقیه 4 تا تاریخ 6 ماه پس از 1400/06/30</t>
  </si>
  <si>
    <t>ADSH-P-PO-GE-20</t>
  </si>
  <si>
    <t>صافیاد</t>
  </si>
  <si>
    <t>Cooling System</t>
  </si>
  <si>
    <t>1398/07/24</t>
  </si>
  <si>
    <t>12 ماه از تاریخ امضای قرارداد
تمدید شد: تا تاریخ 1400/06/31</t>
  </si>
  <si>
    <t>ADSH-P-PO-GE-19</t>
  </si>
  <si>
    <t>1398/07/02</t>
  </si>
  <si>
    <t>پس از مهلت دو هفته ای، به ازای هر روز تاخیر، یک دهم درصد از مبلغ کالای تاخیری تا سقف 10درصد قرارداد</t>
  </si>
  <si>
    <t>Transformers</t>
  </si>
  <si>
    <t>ADSH-P-PO-GE-18</t>
  </si>
  <si>
    <t>Ball Valves $ Butterfly Valves</t>
  </si>
  <si>
    <t>1398/05/18</t>
  </si>
  <si>
    <t>28 الی 32 هفته از تاریخ پیش پرداخت</t>
  </si>
  <si>
    <t>ADSH-P-PO-GE-17</t>
  </si>
  <si>
    <t>1398/05/13</t>
  </si>
  <si>
    <t>9 ماه از تاریخ امضای قرارداد
تمدید شد: تا تاریخ 1399/06/31</t>
  </si>
  <si>
    <t>ADSH-P-PO-GE-16</t>
  </si>
  <si>
    <t>Deluge Valve Skid with rerated Water Spray Nozzle</t>
  </si>
  <si>
    <t>پترو پویش سهند (PEDINCO)</t>
  </si>
  <si>
    <t>8 ماه از تاریخ امضای قرارداد
موارد موضوع الحاقیه 2: 7 ماه پس از تسویه قرارداد اولیه
موارد موضوع الحاقیه 3: 3 ماه از تاریخ امضا (1401/01/28)</t>
  </si>
  <si>
    <t>ADSH-P-PO-GE-15</t>
  </si>
  <si>
    <t>DCS, ESD and F&amp;G System with Overall I/O Numbers</t>
  </si>
  <si>
    <t>12 ماه از تاریخ امضای قرارداد
تمدید شد: تا تاریخ 1399/11/30</t>
  </si>
  <si>
    <t>ADSH-P-PO-GE-14</t>
  </si>
  <si>
    <t>68 Actuated Valves Equipped with Quifer Actuators</t>
  </si>
  <si>
    <t>1398/02/16</t>
  </si>
  <si>
    <t>32 هفته کاری از تاریخ پیش پرداخت</t>
  </si>
  <si>
    <t>ADSH-P-PO-GE-13</t>
  </si>
  <si>
    <t>HATCO</t>
  </si>
  <si>
    <t>Nitrogen System &amp; Air Compressed System</t>
  </si>
  <si>
    <t>14 ماه از تاریخ امضای قرارداد
تمدید شد: تا تاریخ 1401/12/28</t>
  </si>
  <si>
    <t>ADSH-P-PO-GE-12</t>
  </si>
  <si>
    <t>Analyzer System</t>
  </si>
  <si>
    <t>HISCO</t>
  </si>
  <si>
    <t>1397/12/14</t>
  </si>
  <si>
    <t>ADSH-P-PO-GE-11</t>
  </si>
  <si>
    <t>Control Valves</t>
  </si>
  <si>
    <t>34 هفته کاری از تاریخ پیش پرداخت
تمدید شد: تا تاریخ 1399/05/30</t>
  </si>
  <si>
    <t>ADSH-P-PO-GE-10</t>
  </si>
  <si>
    <t>ADSH-P-PO-GE-09</t>
  </si>
  <si>
    <t>شرکت پمپهای صنعتی ایران</t>
  </si>
  <si>
    <t>ADSH-P-PO-GE-08</t>
  </si>
  <si>
    <t>Spherical Tanks</t>
  </si>
  <si>
    <t>1397/11/02</t>
  </si>
  <si>
    <t>راژان پترو فرآیند</t>
  </si>
  <si>
    <t>13 ماه از تاریخ امضای قرارداد
تمدید شد: تا تاریخ 1399/04/27</t>
  </si>
  <si>
    <t>ADSH-P-PO-GE-06</t>
  </si>
  <si>
    <t>FGS Global AB</t>
  </si>
  <si>
    <t>Column, Tower, Drum, Shell Tube</t>
  </si>
  <si>
    <t>1397/09/10</t>
  </si>
  <si>
    <t>9 الی 15 ماه از تاریخ امضای قرارداد</t>
  </si>
  <si>
    <t>ADSH-P-PO-GE-05</t>
  </si>
  <si>
    <t>Heat Exchangers</t>
  </si>
  <si>
    <t>12 الی 15 ماه از تاریخ امضای قرارداد</t>
  </si>
  <si>
    <t>ADSH-P-PO-GE-04</t>
  </si>
  <si>
    <t>1397/08/14</t>
  </si>
  <si>
    <t>Pressure Vessels</t>
  </si>
  <si>
    <t>ADSH-P-PO-GE-03</t>
  </si>
  <si>
    <t>Column &amp; Tower</t>
  </si>
  <si>
    <t>11 الی 14 ماه از تاریخ امضای قرارداد</t>
  </si>
  <si>
    <t>ADSH-P-PO-GE-02</t>
  </si>
  <si>
    <t>Charge Heater</t>
  </si>
  <si>
    <t>KTI- Fire Heater Co. (SEYOUNG)</t>
  </si>
  <si>
    <t>1398/02/21</t>
  </si>
  <si>
    <t>ADSH-P-PO-GE-01</t>
  </si>
  <si>
    <t>Air Coolers</t>
  </si>
  <si>
    <t>11 الی 13 ماه از تاریخ امضای قرارداد</t>
  </si>
  <si>
    <t>در قرارداد GE-06 تجمیع شد</t>
  </si>
  <si>
    <t>1397/12/28</t>
  </si>
  <si>
    <t>1398/03/30</t>
  </si>
  <si>
    <t>1398/05/01</t>
  </si>
  <si>
    <t>قبل از سال 1399</t>
  </si>
  <si>
    <t>سایر</t>
  </si>
  <si>
    <t>1398/07/01</t>
  </si>
  <si>
    <t>1398/09/01</t>
  </si>
  <si>
    <t>1398/07/26</t>
  </si>
  <si>
    <t>1398/12/05</t>
  </si>
  <si>
    <t>1399/05/04</t>
  </si>
  <si>
    <t>انتقال به خریدهای فاکتوری</t>
  </si>
  <si>
    <t>ADSH-P-PO-GE-108</t>
  </si>
  <si>
    <t>Towers, Pressure Vessels, Heat Exchangers, Reactor</t>
  </si>
  <si>
    <t>مصنوعات فلزی سنگین</t>
  </si>
  <si>
    <t>1401/06/16</t>
  </si>
  <si>
    <t>285 روز از تاریخ تحویل مواد اولیه و نقش های مهندسی</t>
  </si>
  <si>
    <t>ADSH-P-PO-GE-109</t>
  </si>
  <si>
    <t>دو عدد تابلو برق</t>
  </si>
  <si>
    <t>1401/05/30</t>
  </si>
  <si>
    <t>12 هفته کاری پس از ابلاغ قرارداد</t>
  </si>
  <si>
    <t>1401/07/18</t>
  </si>
  <si>
    <t>ADSH-P-PO-GE-110</t>
  </si>
  <si>
    <t>پایه چراغهای روشنایی</t>
  </si>
  <si>
    <t>1401/06/14</t>
  </si>
  <si>
    <t>1401/08/17</t>
  </si>
  <si>
    <t>90 روز از تاریخ پیش پرداخت</t>
  </si>
  <si>
    <t>ADSH-P-PO-GE-111</t>
  </si>
  <si>
    <t>8 الی 10 هفته پس از ابلاغ قرارداد</t>
  </si>
  <si>
    <t>ADSH-P-PO-GE-112</t>
  </si>
  <si>
    <t>جعبه اتصالات برقی</t>
  </si>
  <si>
    <t>1401/09/23</t>
  </si>
  <si>
    <t>به ازای هر روز تاخیر، دو دهم درصد از مطالبات یا تضامین تا سقف 20 روز یا 10درصد قرارداد</t>
  </si>
  <si>
    <t>1401/07/23</t>
  </si>
  <si>
    <t>ADSH-P-PO-GE-113</t>
  </si>
  <si>
    <t>1401/09/19</t>
  </si>
  <si>
    <t>نامشخص</t>
  </si>
  <si>
    <t>ADSH-P-PO-GE-114</t>
  </si>
  <si>
    <t>Certain Items</t>
  </si>
  <si>
    <t>1401/08/02</t>
  </si>
  <si>
    <t>ماشین سازی تاشا</t>
  </si>
  <si>
    <t>Air Cooler</t>
  </si>
  <si>
    <t>7 الی 15 ماه از تاریخ شروع قرارداد: تاریخ پیش پرداخت یا چهار هفته پس از امضا هر کدام زودتر باشد</t>
  </si>
  <si>
    <t>پس از مهلت دو هفته ای، به ازای هر هفته تاخیر، 1.2 درصد از مبلغ کالای تاخیری تا سقف 10درصد قرارداد</t>
  </si>
  <si>
    <t>ADSH-P-PO-GE-116</t>
  </si>
  <si>
    <t>ADSH-P-PO-GE-117</t>
  </si>
  <si>
    <t>Firooza Engineering Co.</t>
  </si>
  <si>
    <t>Overhead Cranes</t>
  </si>
  <si>
    <t>7 ماه از تاریخ شروع قرارداد: تاریخ پیش پرداخت یا چهار هفته پس از امضا هر کدام زودتر باشد</t>
  </si>
  <si>
    <t>ADSH-P-PO-GE-118</t>
  </si>
  <si>
    <t>ADSH-P-PO-GE-119</t>
  </si>
  <si>
    <t>ADSH-P-PO-GE-120</t>
  </si>
  <si>
    <t>کاور سینی کابل</t>
  </si>
  <si>
    <t>تابلو LV</t>
  </si>
  <si>
    <t>تابلو MV</t>
  </si>
  <si>
    <t>1401/09/27</t>
  </si>
  <si>
    <t>به ازای هر روز تاخیر، سه دهم درصد از مطالبات یا تضامین تا سقف 20 روز یا 10درصد قرارداد</t>
  </si>
  <si>
    <t>وضعیت تضامین</t>
  </si>
  <si>
    <r>
      <t xml:space="preserve">ضمانتنامه بانکی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چک تضمین انجام تعهدات: </t>
    </r>
    <r>
      <rPr>
        <sz val="14"/>
        <color theme="1"/>
        <rFont val="Calibri"/>
        <family val="2"/>
      </rPr>
      <t>×</t>
    </r>
  </si>
  <si>
    <t>نسخه امضا شده قرارداد به مالی ارائه نشده است</t>
  </si>
  <si>
    <t>در مرحله پرداخت</t>
  </si>
  <si>
    <r>
      <t xml:space="preserve">ضمانتنامه بانکی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چک تضمین انجام تعهدات: </t>
    </r>
    <r>
      <rPr>
        <sz val="14"/>
        <color theme="1"/>
        <rFont val="Calibri"/>
        <family val="2"/>
      </rPr>
      <t>√</t>
    </r>
  </si>
  <si>
    <t>1401/06/25</t>
  </si>
  <si>
    <r>
      <t xml:space="preserve">چک و سفته تضمین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چک و سفته تضمین انجام تعهدات: </t>
    </r>
    <r>
      <rPr>
        <sz val="14"/>
        <color theme="1"/>
        <rFont val="Calibri"/>
        <family val="2"/>
      </rPr>
      <t>√</t>
    </r>
  </si>
  <si>
    <r>
      <t xml:space="preserve">سفته تضمین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سفته تضمین انجام تعهدات: </t>
    </r>
    <r>
      <rPr>
        <sz val="14"/>
        <color theme="1"/>
        <rFont val="Calibri"/>
        <family val="2"/>
      </rPr>
      <t>√</t>
    </r>
  </si>
  <si>
    <t>تضامین پیش پرداخت عودت شده است</t>
  </si>
  <si>
    <t>معادل ریالی مبالغ پرداخت گردید</t>
  </si>
  <si>
    <r>
      <t xml:space="preserve">ضمانتنامه بانکی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ضمانتنامه بانکی انجام تعهدات: </t>
    </r>
    <r>
      <rPr>
        <sz val="14"/>
        <color theme="1"/>
        <rFont val="Calibri"/>
        <family val="2"/>
      </rPr>
      <t>√</t>
    </r>
  </si>
  <si>
    <t>چک و سفته تضمین پیش پرداخت: √
چک و سفته تضمین انجام تعهدات: √</t>
  </si>
  <si>
    <t>1401/06/13</t>
  </si>
  <si>
    <t>ضمانتنامه بانکی پیش پرداخت: √
ضمانتنامه بانکی انجام تعهدات: √</t>
  </si>
  <si>
    <t>افزایش (کاهش)
طی الحاقیه ها</t>
  </si>
  <si>
    <t>سایر توضیحات</t>
  </si>
  <si>
    <t>قرارداد فاقد بند مربوط به اخذ تضامین بوده است</t>
  </si>
  <si>
    <t>قرارداد خاتمه یافت و اقلام مربوطه تحویل شد</t>
  </si>
  <si>
    <t>تاریخ ارائه تضامین: 1401/06/02</t>
  </si>
  <si>
    <t>تاریخ ارائه تضامین: 1401/09/16</t>
  </si>
  <si>
    <t>ضمانتنامه بانکی پیش پرداخت: √</t>
  </si>
  <si>
    <t>ضمانتامه از بانک KEB Hana سئول
به مبلغ 52.500 یورو</t>
  </si>
  <si>
    <t>ضمانتامه از بانک KEB Hana سئول
به مبلغ 11.250 یورو</t>
  </si>
  <si>
    <t>ضمانتامه از بانک KEB Hana سئول
به مبلغ 600.000 یورو</t>
  </si>
  <si>
    <t>ضمانتامه از بانک KEB Hana سئول
به مبلغ 170.720 دلار</t>
  </si>
  <si>
    <r>
      <t xml:space="preserve">ضمانتنامه بانکی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چک و سفته تضمین انجام تعهدات: </t>
    </r>
    <r>
      <rPr>
        <sz val="14"/>
        <color theme="1"/>
        <rFont val="Calibri"/>
        <family val="2"/>
      </rPr>
      <t>√</t>
    </r>
  </si>
  <si>
    <t>1401/05/09</t>
  </si>
  <si>
    <r>
      <t xml:space="preserve">چک تضمین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چک تضمین انجام تعهدات: </t>
    </r>
    <r>
      <rPr>
        <sz val="14"/>
        <color theme="1"/>
        <rFont val="Calibri"/>
        <family val="2"/>
      </rPr>
      <t>√</t>
    </r>
  </si>
  <si>
    <t>ضمانتنامه بانکی پیش پرداخت عودت داده شد</t>
  </si>
  <si>
    <r>
      <t xml:space="preserve">ضمانتنامه بانکی پیش پرداخت: </t>
    </r>
    <r>
      <rPr>
        <sz val="14"/>
        <color theme="1"/>
        <rFont val="Calibri"/>
        <family val="2"/>
      </rPr>
      <t>√</t>
    </r>
  </si>
  <si>
    <t>تاریخ دریافت ضمانتنامه: 1401/06/16</t>
  </si>
  <si>
    <t>1401/04/13</t>
  </si>
  <si>
    <t>با پایان قرارداد، کلیه تضامین عودت داده شد</t>
  </si>
  <si>
    <t>1400/02/22</t>
  </si>
  <si>
    <t>ریال پرداختی</t>
  </si>
  <si>
    <t>چک تضمین پیش پرداخت: √</t>
  </si>
  <si>
    <t>1400/12/03</t>
  </si>
  <si>
    <r>
      <t xml:space="preserve">چک و سفته تضمین انجام تعهدات: </t>
    </r>
    <r>
      <rPr>
        <sz val="14"/>
        <color theme="1"/>
        <rFont val="Calibri"/>
        <family val="2"/>
      </rPr>
      <t>√</t>
    </r>
  </si>
  <si>
    <t>تضمینی بابت پیش پرداخت اخذ نشده است</t>
  </si>
  <si>
    <t>ضمانتنامه بانکی از جانب فاتح صنعت کیمیا ارائه شد</t>
  </si>
  <si>
    <t>کلیه تضامین عودت داده شده است</t>
  </si>
  <si>
    <t>ارائه دهنده ضمانتنامه بانکی: آقای محمد رضوانیان</t>
  </si>
  <si>
    <t>هیچگونه تضمینی ارائه نگردید</t>
  </si>
  <si>
    <t>بابت پیش پرداخت تضمین ارائه نگردید</t>
  </si>
  <si>
    <r>
      <t xml:space="preserve">چک تضمین پیش پرداخت: </t>
    </r>
    <r>
      <rPr>
        <sz val="14"/>
        <color theme="1"/>
        <rFont val="Calibri"/>
        <family val="2"/>
      </rPr>
      <t>√</t>
    </r>
  </si>
  <si>
    <r>
      <t xml:space="preserve">چک و سفته تضمین پیش پرداخت: </t>
    </r>
    <r>
      <rPr>
        <sz val="14"/>
        <color theme="1"/>
        <rFont val="Calibri"/>
        <family val="2"/>
      </rPr>
      <t>√</t>
    </r>
  </si>
  <si>
    <r>
      <t xml:space="preserve">ضمانتنامه بانکی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چک تضمین پیش پرداخت الحاقیه : </t>
    </r>
    <r>
      <rPr>
        <sz val="14"/>
        <color theme="1"/>
        <rFont val="Calibri"/>
        <family val="2"/>
      </rPr>
      <t>√</t>
    </r>
  </si>
  <si>
    <t>ضمانتنامه شرکتی پیش پرداخت: √</t>
  </si>
  <si>
    <t>ضمانتنامه شرکتی پیش پرداخت: √
ضمانتنامه شرکتی انجام تعهدات: √</t>
  </si>
  <si>
    <t>4 ماه از تاریخ پیش پرداخت و تایید نقشه های مهندسی</t>
  </si>
  <si>
    <t>به ازای هر روز تاخیر، یک دهم درصد از مطالبات یا تضامین تا سقف 50 روز یا 5 درصد قرارداد</t>
  </si>
  <si>
    <t>1400/04/02</t>
  </si>
  <si>
    <t>1397/05/24</t>
  </si>
  <si>
    <t>درصد
پیش پرداخت در قرارداد</t>
  </si>
  <si>
    <t>تامین کننده</t>
  </si>
  <si>
    <t>Grounding</t>
  </si>
  <si>
    <t>ADSH-P-PO-GE-102</t>
  </si>
  <si>
    <t>پکیج تصفیه فاضلاب ساختمان NIB</t>
  </si>
  <si>
    <t>تحکیم دیماس</t>
  </si>
  <si>
    <t>1401/06/12</t>
  </si>
  <si>
    <t>پنجاه روز تقویمی پس از ابلاغ</t>
  </si>
  <si>
    <t>چک و سفته تضمین پیش پرداخت: √
چک تضمین انجام تعهدات: √</t>
  </si>
  <si>
    <t>ADSH-P-PO-GE-115</t>
  </si>
  <si>
    <t>ADSH-P-PO-GE-81</t>
  </si>
  <si>
    <t>ADSH-P-PO-GE-68</t>
  </si>
  <si>
    <t>ADSH-P-PO-GE-61</t>
  </si>
  <si>
    <t>ADSH-P-PO-GE-58</t>
  </si>
  <si>
    <t>ADSH-P-PO-GE-42</t>
  </si>
  <si>
    <t>ADSH-P-PO-GE-40</t>
  </si>
  <si>
    <t>ADSH-P-PO-GE-41</t>
  </si>
  <si>
    <t>ADSH-P-PO-GE-07</t>
  </si>
  <si>
    <t>ADSH-P-PO-GE-78</t>
  </si>
  <si>
    <t>ADSH-P-PO-GE-63</t>
  </si>
  <si>
    <t>صرافی</t>
  </si>
  <si>
    <r>
      <t xml:space="preserve">ضمانتنامه بانکی انجام تعهدات: </t>
    </r>
    <r>
      <rPr>
        <sz val="14"/>
        <color theme="1"/>
        <rFont val="Calibri"/>
        <family val="2"/>
      </rPr>
      <t>√</t>
    </r>
  </si>
  <si>
    <t>ضمانتنامه دریافتی از شرکت تضمین بیمه ای سئول</t>
  </si>
  <si>
    <r>
      <t xml:space="preserve">ضمانتنامه بانکی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ضمانتنامه بانکی انجام تعهدات: √</t>
    </r>
  </si>
  <si>
    <t>ضمانتنامه دریافتی از Rabobank هلند به طرفیت فراب اینترنشنال</t>
  </si>
  <si>
    <r>
      <t xml:space="preserve">ضمانتنامه شرکتی پیش پرداخت: </t>
    </r>
    <r>
      <rPr>
        <sz val="14"/>
        <color theme="1"/>
        <rFont val="Calibri"/>
        <family val="2"/>
      </rPr>
      <t>√</t>
    </r>
    <r>
      <rPr>
        <sz val="14"/>
        <color theme="1"/>
        <rFont val="B Lotus"/>
        <charset val="178"/>
      </rPr>
      <t xml:space="preserve">
ضمانتنامه شرکتی انجام تعهدات: 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</si>
</sst>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-_ر_ي_ا_ل;#,##0\-_ر_ي_ا_ل"/>
    <numFmt numFmtId="167" formatCode="#,##0.00_-_ر_ي_ا_ل;#,##0.00\-_ر_ي_ا_ل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 Lotus"/>
      <charset val="178"/>
    </font>
    <font>
      <sz val="14"/>
      <color theme="1"/>
      <name val="Calibri"/>
      <family val="2"/>
      <scheme val="minor"/>
    </font>
    <font>
      <sz val="14"/>
      <color theme="1"/>
      <name val="B Lotus"/>
      <charset val="178"/>
    </font>
    <font>
      <sz val="14"/>
      <name val="B Lotus"/>
      <charset val="178"/>
    </font>
    <font>
      <sz val="13"/>
      <name val="B Lotus"/>
      <charset val="178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B Lotus"/>
      <charset val="178"/>
    </font>
    <font>
      <sz val="18"/>
      <color theme="1"/>
      <name val="B Lotus"/>
      <charset val="178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B Lotus"/>
      <charset val="178"/>
    </font>
    <font>
      <b/>
      <sz val="16"/>
      <name val="B Lotus"/>
      <charset val="178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lightGrid">
        <bgColor theme="0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165" fontId="2" fillId="2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2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 wrapText="1"/>
    </xf>
    <xf numFmtId="165" fontId="4" fillId="3" borderId="0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5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5" fontId="0" fillId="0" borderId="0" xfId="1" applyNumberFormat="1" applyFont="1" applyFill="1" applyBorder="1"/>
    <xf numFmtId="165" fontId="0" fillId="0" borderId="0" xfId="1" applyNumberFormat="1" applyFont="1" applyBorder="1"/>
    <xf numFmtId="165" fontId="2" fillId="3" borderId="0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0" fillId="0" borderId="14" xfId="0" applyBorder="1"/>
    <xf numFmtId="165" fontId="0" fillId="0" borderId="0" xfId="0" applyNumberFormat="1"/>
    <xf numFmtId="164" fontId="0" fillId="0" borderId="0" xfId="0" applyNumberFormat="1"/>
    <xf numFmtId="0" fontId="0" fillId="3" borderId="5" xfId="0" applyFill="1" applyBorder="1"/>
    <xf numFmtId="0" fontId="0" fillId="3" borderId="0" xfId="0" applyFill="1"/>
    <xf numFmtId="0" fontId="2" fillId="3" borderId="14" xfId="0" applyFont="1" applyFill="1" applyBorder="1" applyAlignment="1">
      <alignment horizontal="center" vertical="center" wrapText="1"/>
    </xf>
    <xf numFmtId="165" fontId="9" fillId="3" borderId="14" xfId="1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 shrinkToFit="1"/>
    </xf>
    <xf numFmtId="3" fontId="13" fillId="3" borderId="16" xfId="0" applyNumberFormat="1" applyFont="1" applyFill="1" applyBorder="1" applyAlignment="1">
      <alignment vertical="center" shrinkToFit="1"/>
    </xf>
    <xf numFmtId="165" fontId="2" fillId="7" borderId="3" xfId="1" applyNumberFormat="1" applyFont="1" applyFill="1" applyBorder="1" applyAlignment="1">
      <alignment horizontal="center" vertical="center" wrapText="1"/>
    </xf>
    <xf numFmtId="165" fontId="2" fillId="6" borderId="3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5" borderId="3" xfId="1" applyNumberFormat="1" applyFont="1" applyFill="1" applyBorder="1" applyAlignment="1">
      <alignment horizontal="center" vertical="center" wrapText="1"/>
    </xf>
    <xf numFmtId="165" fontId="2" fillId="4" borderId="3" xfId="1" applyNumberFormat="1" applyFont="1" applyFill="1" applyBorder="1" applyAlignment="1">
      <alignment horizontal="center" vertical="center" wrapText="1"/>
    </xf>
    <xf numFmtId="166" fontId="4" fillId="3" borderId="7" xfId="1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vertical="center"/>
    </xf>
    <xf numFmtId="166" fontId="4" fillId="3" borderId="7" xfId="1" applyNumberFormat="1" applyFont="1" applyFill="1" applyBorder="1" applyAlignment="1">
      <alignment vertical="center"/>
    </xf>
    <xf numFmtId="166" fontId="4" fillId="3" borderId="0" xfId="1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center" vertical="center" wrapText="1"/>
    </xf>
    <xf numFmtId="166" fontId="4" fillId="3" borderId="7" xfId="1" applyNumberFormat="1" applyFont="1" applyFill="1" applyBorder="1" applyAlignment="1">
      <alignment horizontal="center" vertical="center" wrapText="1"/>
    </xf>
    <xf numFmtId="166" fontId="4" fillId="3" borderId="10" xfId="1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vertical="center"/>
    </xf>
    <xf numFmtId="166" fontId="4" fillId="3" borderId="9" xfId="1" applyNumberFormat="1" applyFont="1" applyFill="1" applyBorder="1" applyAlignment="1">
      <alignment horizontal="center" vertical="center"/>
    </xf>
    <xf numFmtId="166" fontId="4" fillId="3" borderId="13" xfId="1" applyNumberFormat="1" applyFont="1" applyFill="1" applyBorder="1" applyAlignment="1">
      <alignment vertical="center"/>
    </xf>
    <xf numFmtId="166" fontId="4" fillId="3" borderId="11" xfId="1" applyNumberFormat="1" applyFont="1" applyFill="1" applyBorder="1" applyAlignment="1">
      <alignment horizontal="center" vertical="center"/>
    </xf>
    <xf numFmtId="166" fontId="4" fillId="3" borderId="8" xfId="1" applyNumberFormat="1" applyFont="1" applyFill="1" applyBorder="1" applyAlignment="1">
      <alignment horizontal="center" vertical="center"/>
    </xf>
    <xf numFmtId="166" fontId="4" fillId="3" borderId="8" xfId="1" applyNumberFormat="1" applyFont="1" applyFill="1" applyBorder="1" applyAlignment="1">
      <alignment horizontal="center" vertical="center" wrapText="1"/>
    </xf>
    <xf numFmtId="166" fontId="4" fillId="3" borderId="12" xfId="1" applyNumberFormat="1" applyFont="1" applyFill="1" applyBorder="1" applyAlignment="1">
      <alignment horizontal="center" vertical="center"/>
    </xf>
    <xf numFmtId="166" fontId="4" fillId="3" borderId="2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vertical="center"/>
    </xf>
    <xf numFmtId="166" fontId="4" fillId="3" borderId="6" xfId="1" applyNumberFormat="1" applyFont="1" applyFill="1" applyBorder="1" applyAlignment="1">
      <alignment vertical="center"/>
    </xf>
    <xf numFmtId="166" fontId="4" fillId="8" borderId="13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165" fontId="13" fillId="2" borderId="18" xfId="1" applyNumberFormat="1" applyFont="1" applyFill="1" applyBorder="1" applyAlignment="1">
      <alignment horizontal="center" vertical="center" wrapText="1"/>
    </xf>
    <xf numFmtId="0" fontId="13" fillId="2" borderId="18" xfId="2" applyNumberFormat="1" applyFont="1" applyFill="1" applyBorder="1" applyAlignment="1">
      <alignment horizontal="center" vertical="center" wrapText="1"/>
    </xf>
    <xf numFmtId="165" fontId="13" fillId="2" borderId="19" xfId="1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8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horizontal="center" vertical="center"/>
    </xf>
    <xf numFmtId="165" fontId="4" fillId="3" borderId="21" xfId="1" applyNumberFormat="1" applyFont="1" applyFill="1" applyBorder="1" applyAlignment="1">
      <alignment horizontal="center" vertical="center" wrapText="1"/>
    </xf>
    <xf numFmtId="166" fontId="4" fillId="3" borderId="21" xfId="1" applyNumberFormat="1" applyFont="1" applyFill="1" applyBorder="1" applyAlignment="1">
      <alignment horizontal="center" vertical="center"/>
    </xf>
    <xf numFmtId="49" fontId="2" fillId="3" borderId="21" xfId="1" applyNumberFormat="1" applyFont="1" applyFill="1" applyBorder="1" applyAlignment="1">
      <alignment horizontal="center" vertical="center" wrapText="1" readingOrder="2"/>
    </xf>
    <xf numFmtId="165" fontId="2" fillId="3" borderId="21" xfId="1" applyNumberFormat="1" applyFont="1" applyFill="1" applyBorder="1" applyAlignment="1">
      <alignment horizontal="center" vertical="center" wrapText="1" readingOrder="2"/>
    </xf>
    <xf numFmtId="3" fontId="4" fillId="3" borderId="21" xfId="0" applyNumberFormat="1" applyFont="1" applyFill="1" applyBorder="1" applyAlignment="1">
      <alignment horizontal="center" vertical="center"/>
    </xf>
    <xf numFmtId="40" fontId="4" fillId="3" borderId="21" xfId="1" applyNumberFormat="1" applyFont="1" applyFill="1" applyBorder="1" applyAlignment="1">
      <alignment horizontal="center" vertical="center"/>
    </xf>
    <xf numFmtId="38" fontId="4" fillId="3" borderId="21" xfId="1" applyNumberFormat="1" applyFont="1" applyFill="1" applyBorder="1" applyAlignment="1">
      <alignment horizontal="center" vertical="center"/>
    </xf>
    <xf numFmtId="9" fontId="4" fillId="3" borderId="21" xfId="2" applyFont="1" applyFill="1" applyBorder="1" applyAlignment="1">
      <alignment horizontal="center" vertical="center"/>
    </xf>
    <xf numFmtId="166" fontId="4" fillId="3" borderId="21" xfId="1" applyNumberFormat="1" applyFont="1" applyFill="1" applyBorder="1" applyAlignment="1">
      <alignment vertical="center"/>
    </xf>
    <xf numFmtId="165" fontId="4" fillId="3" borderId="21" xfId="1" applyNumberFormat="1" applyFont="1" applyFill="1" applyBorder="1" applyAlignment="1">
      <alignment vertical="center"/>
    </xf>
    <xf numFmtId="166" fontId="4" fillId="3" borderId="21" xfId="1" applyNumberFormat="1" applyFont="1" applyFill="1" applyBorder="1" applyAlignment="1">
      <alignment horizontal="center" vertical="center" wrapText="1"/>
    </xf>
    <xf numFmtId="166" fontId="4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 wrapText="1" readingOrder="2"/>
    </xf>
    <xf numFmtId="165" fontId="2" fillId="3" borderId="21" xfId="1" applyNumberFormat="1" applyFont="1" applyFill="1" applyBorder="1" applyAlignment="1">
      <alignment horizontal="center" vertical="center" wrapText="1"/>
    </xf>
    <xf numFmtId="40" fontId="4" fillId="3" borderId="21" xfId="1" applyNumberFormat="1" applyFont="1" applyFill="1" applyBorder="1" applyAlignment="1">
      <alignment vertical="center"/>
    </xf>
    <xf numFmtId="166" fontId="4" fillId="8" borderId="21" xfId="1" applyNumberFormat="1" applyFont="1" applyFill="1" applyBorder="1" applyAlignment="1">
      <alignment horizontal="center" vertical="center"/>
    </xf>
    <xf numFmtId="166" fontId="4" fillId="3" borderId="22" xfId="1" applyNumberFormat="1" applyFont="1" applyFill="1" applyBorder="1" applyAlignment="1">
      <alignment horizontal="center" vertical="center" wrapText="1"/>
    </xf>
    <xf numFmtId="40" fontId="4" fillId="3" borderId="23" xfId="1" applyNumberFormat="1" applyFont="1" applyFill="1" applyBorder="1" applyAlignment="1">
      <alignment vertical="center"/>
    </xf>
    <xf numFmtId="40" fontId="4" fillId="0" borderId="23" xfId="1" applyNumberFormat="1" applyFont="1" applyFill="1" applyBorder="1" applyAlignment="1">
      <alignment vertical="center"/>
    </xf>
    <xf numFmtId="165" fontId="4" fillId="0" borderId="21" xfId="1" applyNumberFormat="1" applyFont="1" applyFill="1" applyBorder="1" applyAlignment="1">
      <alignment vertical="center"/>
    </xf>
    <xf numFmtId="40" fontId="4" fillId="3" borderId="23" xfId="1" applyNumberFormat="1" applyFont="1" applyFill="1" applyBorder="1" applyAlignment="1">
      <alignment horizontal="center" vertical="center"/>
    </xf>
    <xf numFmtId="167" fontId="4" fillId="3" borderId="21" xfId="1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8" fillId="3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horizontal="center" vertical="center" wrapText="1"/>
    </xf>
    <xf numFmtId="165" fontId="2" fillId="3" borderId="23" xfId="1" applyNumberFormat="1" applyFont="1" applyFill="1" applyBorder="1" applyAlignment="1">
      <alignment horizontal="center" vertical="center" wrapText="1"/>
    </xf>
    <xf numFmtId="9" fontId="4" fillId="3" borderId="24" xfId="2" applyFont="1" applyFill="1" applyBorder="1" applyAlignment="1">
      <alignment horizontal="center" vertical="center"/>
    </xf>
    <xf numFmtId="165" fontId="4" fillId="0" borderId="23" xfId="1" applyNumberFormat="1" applyFont="1" applyFill="1" applyBorder="1" applyAlignment="1">
      <alignment vertical="center"/>
    </xf>
    <xf numFmtId="166" fontId="4" fillId="3" borderId="23" xfId="1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center" vertical="center"/>
    </xf>
    <xf numFmtId="9" fontId="4" fillId="3" borderId="23" xfId="2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right" vertical="center" wrapText="1"/>
    </xf>
    <xf numFmtId="166" fontId="4" fillId="3" borderId="23" xfId="1" applyNumberFormat="1" applyFont="1" applyFill="1" applyBorder="1" applyAlignment="1">
      <alignment horizontal="center" vertical="center"/>
    </xf>
    <xf numFmtId="166" fontId="4" fillId="0" borderId="23" xfId="1" applyNumberFormat="1" applyFont="1" applyFill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165" fontId="2" fillId="3" borderId="23" xfId="1" applyNumberFormat="1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vertical="center"/>
    </xf>
    <xf numFmtId="49" fontId="2" fillId="3" borderId="23" xfId="1" applyNumberFormat="1" applyFont="1" applyFill="1" applyBorder="1" applyAlignment="1">
      <alignment horizontal="center" vertical="center" readingOrder="2"/>
    </xf>
    <xf numFmtId="3" fontId="4" fillId="8" borderId="23" xfId="0" applyNumberFormat="1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horizontal="center" vertical="center"/>
    </xf>
    <xf numFmtId="49" fontId="4" fillId="3" borderId="25" xfId="0" applyNumberFormat="1" applyFont="1" applyFill="1" applyBorder="1" applyAlignment="1">
      <alignment horizontal="right" vertical="center" wrapText="1" readingOrder="2"/>
    </xf>
    <xf numFmtId="0" fontId="4" fillId="3" borderId="25" xfId="0" applyFont="1" applyFill="1" applyBorder="1" applyAlignment="1">
      <alignment horizontal="center" vertical="center"/>
    </xf>
    <xf numFmtId="165" fontId="4" fillId="3" borderId="25" xfId="1" applyNumberFormat="1" applyFont="1" applyFill="1" applyBorder="1" applyAlignment="1">
      <alignment horizontal="center" vertical="center"/>
    </xf>
    <xf numFmtId="40" fontId="4" fillId="3" borderId="25" xfId="1" applyNumberFormat="1" applyFont="1" applyFill="1" applyBorder="1" applyAlignment="1">
      <alignment horizontal="center" vertical="center"/>
    </xf>
    <xf numFmtId="40" fontId="4" fillId="3" borderId="24" xfId="1" applyNumberFormat="1" applyFont="1" applyFill="1" applyBorder="1" applyAlignment="1">
      <alignment horizontal="center" vertical="center"/>
    </xf>
    <xf numFmtId="166" fontId="4" fillId="3" borderId="24" xfId="1" applyNumberFormat="1" applyFont="1" applyFill="1" applyBorder="1" applyAlignment="1">
      <alignment horizontal="center" vertical="center"/>
    </xf>
    <xf numFmtId="9" fontId="4" fillId="3" borderId="25" xfId="2" applyFont="1" applyFill="1" applyBorder="1" applyAlignment="1">
      <alignment horizontal="center" vertical="center"/>
    </xf>
    <xf numFmtId="165" fontId="4" fillId="3" borderId="25" xfId="1" applyNumberFormat="1" applyFont="1" applyFill="1" applyBorder="1" applyAlignment="1">
      <alignment vertical="center"/>
    </xf>
    <xf numFmtId="166" fontId="4" fillId="3" borderId="25" xfId="1" applyNumberFormat="1" applyFont="1" applyFill="1" applyBorder="1" applyAlignment="1">
      <alignment vertical="center"/>
    </xf>
    <xf numFmtId="165" fontId="2" fillId="8" borderId="21" xfId="1" applyNumberFormat="1" applyFont="1" applyFill="1" applyBorder="1" applyAlignment="1">
      <alignment horizontal="center" vertical="center"/>
    </xf>
    <xf numFmtId="167" fontId="4" fillId="3" borderId="23" xfId="1" applyNumberFormat="1" applyFont="1" applyFill="1" applyBorder="1" applyAlignment="1">
      <alignment vertical="center"/>
    </xf>
    <xf numFmtId="3" fontId="4" fillId="0" borderId="21" xfId="0" applyNumberFormat="1" applyFont="1" applyBorder="1" applyAlignment="1">
      <alignment horizontal="center" vertical="center"/>
    </xf>
    <xf numFmtId="166" fontId="4" fillId="0" borderId="21" xfId="1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4" fillId="3" borderId="23" xfId="0" applyFont="1" applyFill="1" applyBorder="1" applyAlignment="1">
      <alignment horizontal="right" vertical="center" wrapText="1"/>
    </xf>
    <xf numFmtId="167" fontId="4" fillId="0" borderId="23" xfId="1" applyNumberFormat="1" applyFont="1" applyFill="1" applyBorder="1" applyAlignment="1">
      <alignment vertical="center"/>
    </xf>
    <xf numFmtId="165" fontId="4" fillId="3" borderId="21" xfId="1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166" fontId="4" fillId="9" borderId="21" xfId="1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vertical="center"/>
    </xf>
    <xf numFmtId="0" fontId="8" fillId="3" borderId="27" xfId="0" applyFont="1" applyFill="1" applyBorder="1" applyAlignment="1">
      <alignment horizontal="center" vertical="center"/>
    </xf>
    <xf numFmtId="165" fontId="4" fillId="3" borderId="28" xfId="1" applyNumberFormat="1" applyFont="1" applyFill="1" applyBorder="1" applyAlignment="1">
      <alignment horizontal="center" vertical="center"/>
    </xf>
    <xf numFmtId="166" fontId="4" fillId="3" borderId="28" xfId="1" applyNumberFormat="1" applyFont="1" applyFill="1" applyBorder="1" applyAlignment="1">
      <alignment horizontal="center" vertical="center"/>
    </xf>
    <xf numFmtId="49" fontId="2" fillId="3" borderId="28" xfId="1" applyNumberFormat="1" applyFont="1" applyFill="1" applyBorder="1" applyAlignment="1">
      <alignment horizontal="center" vertical="center" readingOrder="2"/>
    </xf>
    <xf numFmtId="165" fontId="2" fillId="3" borderId="28" xfId="1" applyNumberFormat="1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center" vertical="center"/>
    </xf>
    <xf numFmtId="40" fontId="4" fillId="3" borderId="28" xfId="1" applyNumberFormat="1" applyFont="1" applyFill="1" applyBorder="1" applyAlignment="1">
      <alignment horizontal="center" vertical="center"/>
    </xf>
    <xf numFmtId="9" fontId="4" fillId="3" borderId="27" xfId="2" applyFont="1" applyFill="1" applyBorder="1" applyAlignment="1">
      <alignment horizontal="center" vertical="center"/>
    </xf>
    <xf numFmtId="40" fontId="4" fillId="3" borderId="28" xfId="1" applyNumberFormat="1" applyFont="1" applyFill="1" applyBorder="1" applyAlignment="1">
      <alignment vertical="center"/>
    </xf>
    <xf numFmtId="165" fontId="4" fillId="3" borderId="28" xfId="1" applyNumberFormat="1" applyFont="1" applyFill="1" applyBorder="1" applyAlignment="1">
      <alignment vertical="center"/>
    </xf>
    <xf numFmtId="166" fontId="4" fillId="3" borderId="28" xfId="1" applyNumberFormat="1" applyFont="1" applyFill="1" applyBorder="1" applyAlignment="1">
      <alignment vertical="center"/>
    </xf>
    <xf numFmtId="166" fontId="4" fillId="3" borderId="28" xfId="1" applyNumberFormat="1" applyFont="1" applyFill="1" applyBorder="1" applyAlignment="1">
      <alignment horizontal="center" vertical="center" wrapText="1"/>
    </xf>
    <xf numFmtId="166" fontId="4" fillId="3" borderId="29" xfId="1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right" vertical="center" wrapText="1"/>
    </xf>
    <xf numFmtId="0" fontId="16" fillId="3" borderId="25" xfId="0" applyFont="1" applyFill="1" applyBorder="1" applyAlignment="1">
      <alignment horizontal="right" vertical="center" wrapText="1"/>
    </xf>
    <xf numFmtId="0" fontId="16" fillId="3" borderId="23" xfId="0" applyFont="1" applyFill="1" applyBorder="1" applyAlignment="1">
      <alignment horizontal="right" vertical="center" wrapText="1"/>
    </xf>
    <xf numFmtId="0" fontId="17" fillId="3" borderId="25" xfId="0" applyFont="1" applyFill="1" applyBorder="1" applyAlignment="1">
      <alignment horizontal="right" vertical="center" wrapText="1"/>
    </xf>
    <xf numFmtId="0" fontId="18" fillId="3" borderId="25" xfId="0" applyFont="1" applyFill="1" applyBorder="1" applyAlignment="1">
      <alignment horizontal="right" vertical="center"/>
    </xf>
    <xf numFmtId="0" fontId="16" fillId="3" borderId="28" xfId="0" applyFont="1" applyFill="1" applyBorder="1" applyAlignment="1">
      <alignment horizontal="right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vertical="center"/>
    </xf>
    <xf numFmtId="0" fontId="8" fillId="8" borderId="23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right" vertical="center" wrapText="1"/>
    </xf>
    <xf numFmtId="0" fontId="4" fillId="8" borderId="23" xfId="0" applyFont="1" applyFill="1" applyBorder="1" applyAlignment="1">
      <alignment horizontal="center" vertical="center"/>
    </xf>
    <xf numFmtId="165" fontId="4" fillId="8" borderId="23" xfId="1" applyNumberFormat="1" applyFont="1" applyFill="1" applyBorder="1" applyAlignment="1">
      <alignment horizontal="center" vertical="center"/>
    </xf>
    <xf numFmtId="49" fontId="2" fillId="8" borderId="23" xfId="1" applyNumberFormat="1" applyFont="1" applyFill="1" applyBorder="1" applyAlignment="1">
      <alignment horizontal="center" vertical="center" wrapText="1" readingOrder="2"/>
    </xf>
    <xf numFmtId="165" fontId="2" fillId="8" borderId="21" xfId="1" applyNumberFormat="1" applyFont="1" applyFill="1" applyBorder="1" applyAlignment="1">
      <alignment horizontal="center" vertical="center" wrapText="1"/>
    </xf>
    <xf numFmtId="3" fontId="4" fillId="8" borderId="21" xfId="0" applyNumberFormat="1" applyFont="1" applyFill="1" applyBorder="1" applyAlignment="1">
      <alignment horizontal="center" vertical="center"/>
    </xf>
    <xf numFmtId="166" fontId="4" fillId="8" borderId="23" xfId="1" applyNumberFormat="1" applyFont="1" applyFill="1" applyBorder="1" applyAlignment="1">
      <alignment horizontal="center" vertical="center"/>
    </xf>
    <xf numFmtId="9" fontId="4" fillId="8" borderId="23" xfId="2" applyFont="1" applyFill="1" applyBorder="1" applyAlignment="1">
      <alignment horizontal="center" vertical="center"/>
    </xf>
    <xf numFmtId="167" fontId="4" fillId="8" borderId="23" xfId="1" applyNumberFormat="1" applyFont="1" applyFill="1" applyBorder="1" applyAlignment="1">
      <alignment vertical="center"/>
    </xf>
    <xf numFmtId="165" fontId="4" fillId="8" borderId="23" xfId="1" applyNumberFormat="1" applyFont="1" applyFill="1" applyBorder="1" applyAlignment="1">
      <alignment vertical="center"/>
    </xf>
    <xf numFmtId="166" fontId="4" fillId="8" borderId="23" xfId="1" applyNumberFormat="1" applyFont="1" applyFill="1" applyBorder="1" applyAlignment="1">
      <alignment vertical="center"/>
    </xf>
    <xf numFmtId="166" fontId="4" fillId="8" borderId="21" xfId="1" applyNumberFormat="1" applyFont="1" applyFill="1" applyBorder="1" applyAlignment="1">
      <alignment vertical="center"/>
    </xf>
    <xf numFmtId="166" fontId="4" fillId="8" borderId="21" xfId="1" applyNumberFormat="1" applyFont="1" applyFill="1" applyBorder="1" applyAlignment="1">
      <alignment horizontal="center" vertical="center" wrapText="1"/>
    </xf>
    <xf numFmtId="166" fontId="4" fillId="8" borderId="22" xfId="1" applyNumberFormat="1" applyFont="1" applyFill="1" applyBorder="1" applyAlignment="1">
      <alignment horizontal="center" vertical="center"/>
    </xf>
    <xf numFmtId="166" fontId="4" fillId="8" borderId="0" xfId="1" applyNumberFormat="1" applyFont="1" applyFill="1" applyBorder="1" applyAlignment="1">
      <alignment horizontal="center" vertical="center"/>
    </xf>
    <xf numFmtId="166" fontId="4" fillId="8" borderId="9" xfId="1" applyNumberFormat="1" applyFont="1" applyFill="1" applyBorder="1" applyAlignment="1">
      <alignment vertical="center"/>
    </xf>
    <xf numFmtId="166" fontId="4" fillId="8" borderId="7" xfId="1" applyNumberFormat="1" applyFont="1" applyFill="1" applyBorder="1" applyAlignment="1">
      <alignment vertical="center"/>
    </xf>
    <xf numFmtId="166" fontId="4" fillId="8" borderId="10" xfId="1" applyNumberFormat="1" applyFont="1" applyFill="1" applyBorder="1" applyAlignment="1">
      <alignment horizontal="center" vertical="center"/>
    </xf>
    <xf numFmtId="165" fontId="4" fillId="8" borderId="0" xfId="1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18" fillId="8" borderId="25" xfId="0" applyFont="1" applyFill="1" applyBorder="1" applyAlignment="1">
      <alignment horizontal="right" vertical="center"/>
    </xf>
    <xf numFmtId="0" fontId="16" fillId="8" borderId="21" xfId="0" applyFont="1" applyFill="1" applyBorder="1" applyAlignment="1">
      <alignment horizontal="right" vertical="center" wrapText="1"/>
    </xf>
    <xf numFmtId="0" fontId="16" fillId="8" borderId="21" xfId="0" applyFont="1" applyFill="1" applyBorder="1" applyAlignment="1">
      <alignment horizontal="center" vertical="center"/>
    </xf>
    <xf numFmtId="40" fontId="4" fillId="8" borderId="23" xfId="1" applyNumberFormat="1" applyFont="1" applyFill="1" applyBorder="1" applyAlignment="1">
      <alignment horizontal="center" vertical="center"/>
    </xf>
    <xf numFmtId="40" fontId="4" fillId="8" borderId="21" xfId="1" applyNumberFormat="1" applyFont="1" applyFill="1" applyBorder="1" applyAlignment="1">
      <alignment horizontal="center" vertical="center"/>
    </xf>
    <xf numFmtId="40" fontId="4" fillId="8" borderId="23" xfId="1" applyNumberFormat="1" applyFont="1" applyFill="1" applyBorder="1" applyAlignment="1">
      <alignment vertical="center"/>
    </xf>
    <xf numFmtId="166" fontId="4" fillId="8" borderId="22" xfId="1" applyNumberFormat="1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vertical="center"/>
    </xf>
    <xf numFmtId="0" fontId="4" fillId="8" borderId="21" xfId="0" applyFont="1" applyFill="1" applyBorder="1" applyAlignment="1">
      <alignment horizontal="center" vertical="center"/>
    </xf>
    <xf numFmtId="49" fontId="2" fillId="8" borderId="23" xfId="1" applyNumberFormat="1" applyFont="1" applyFill="1" applyBorder="1" applyAlignment="1">
      <alignment horizontal="center" vertical="center" readingOrder="2"/>
    </xf>
    <xf numFmtId="0" fontId="7" fillId="8" borderId="21" xfId="0" applyFont="1" applyFill="1" applyBorder="1" applyAlignment="1">
      <alignment horizontal="center" vertical="center"/>
    </xf>
    <xf numFmtId="166" fontId="4" fillId="8" borderId="1" xfId="1" applyNumberFormat="1" applyFont="1" applyFill="1" applyBorder="1" applyAlignment="1">
      <alignment vertical="center"/>
    </xf>
    <xf numFmtId="166" fontId="4" fillId="8" borderId="3" xfId="1" applyNumberFormat="1" applyFont="1" applyFill="1" applyBorder="1" applyAlignment="1">
      <alignment vertical="center"/>
    </xf>
    <xf numFmtId="166" fontId="4" fillId="8" borderId="4" xfId="1" applyNumberFormat="1" applyFont="1" applyFill="1" applyBorder="1" applyAlignment="1">
      <alignment horizontal="center" vertical="center"/>
    </xf>
    <xf numFmtId="165" fontId="4" fillId="8" borderId="21" xfId="1" applyNumberFormat="1" applyFont="1" applyFill="1" applyBorder="1" applyAlignment="1">
      <alignment vertical="center"/>
    </xf>
    <xf numFmtId="0" fontId="2" fillId="8" borderId="23" xfId="0" applyFont="1" applyFill="1" applyBorder="1" applyAlignment="1">
      <alignment vertical="center"/>
    </xf>
    <xf numFmtId="49" fontId="2" fillId="8" borderId="21" xfId="1" applyNumberFormat="1" applyFont="1" applyFill="1" applyBorder="1" applyAlignment="1">
      <alignment horizontal="center" vertical="center" wrapText="1" readingOrder="2"/>
    </xf>
    <xf numFmtId="40" fontId="4" fillId="8" borderId="21" xfId="1" applyNumberFormat="1" applyFont="1" applyFill="1" applyBorder="1" applyAlignment="1">
      <alignment vertical="center"/>
    </xf>
    <xf numFmtId="166" fontId="4" fillId="10" borderId="22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317F-B0CD-496A-9E5A-AAE5B348597D}">
  <sheetPr>
    <pageSetUpPr fitToPage="1"/>
  </sheetPr>
  <dimension ref="A1:DG121"/>
  <sheetViews>
    <sheetView rightToLeft="1" tabSelected="1" zoomScaleNormal="100" zoomScaleSheetLayoutView="39" workbookViewId="0">
      <selection activeCell="C1" sqref="C1"/>
    </sheetView>
  </sheetViews>
  <sheetFormatPr defaultRowHeight="15" x14ac:dyDescent="0.25"/>
  <cols>
    <col min="1" max="1" width="7.5703125" style="60" customWidth="1"/>
    <col min="2" max="2" width="8.85546875" customWidth="1"/>
    <col min="3" max="3" width="32.5703125" style="60" customWidth="1"/>
    <col min="4" max="4" width="61.28515625" customWidth="1"/>
    <col min="5" max="5" width="41.28515625" customWidth="1"/>
    <col min="6" max="6" width="23.42578125" style="6" bestFit="1" customWidth="1"/>
    <col min="7" max="7" width="31.28515625" style="6" customWidth="1"/>
    <col min="8" max="8" width="58.140625" style="7" customWidth="1"/>
    <col min="9" max="9" width="51.5703125" style="7" customWidth="1"/>
    <col min="10" max="10" width="17" customWidth="1"/>
    <col min="11" max="11" width="13.42578125" customWidth="1"/>
    <col min="12" max="12" width="31.28515625" bestFit="1" customWidth="1"/>
    <col min="13" max="13" width="27.28515625" bestFit="1" customWidth="1"/>
    <col min="14" max="14" width="39.5703125" customWidth="1"/>
    <col min="15" max="15" width="28" customWidth="1"/>
    <col min="16" max="16" width="32.28515625" customWidth="1"/>
    <col min="17" max="17" width="35.5703125" customWidth="1"/>
    <col min="18" max="18" width="22.42578125" customWidth="1"/>
    <col min="19" max="20" width="26.28515625" style="6" customWidth="1"/>
    <col min="21" max="21" width="30" style="6" customWidth="1"/>
    <col min="22" max="22" width="29" style="6" customWidth="1"/>
    <col min="23" max="23" width="31.28515625" style="6" customWidth="1"/>
    <col min="24" max="24" width="43" style="6" bestFit="1" customWidth="1"/>
    <col min="25" max="25" width="45.140625" style="6" bestFit="1" customWidth="1"/>
    <col min="26" max="26" width="5.42578125" style="19" customWidth="1"/>
    <col min="27" max="31" width="22.85546875" style="19" hidden="1" customWidth="1"/>
    <col min="32" max="32" width="15.42578125" style="19" hidden="1" customWidth="1"/>
    <col min="33" max="34" width="22.85546875" style="19" hidden="1" customWidth="1"/>
    <col min="35" max="35" width="15.42578125" style="19" hidden="1" customWidth="1"/>
    <col min="36" max="37" width="22.85546875" style="19" hidden="1" customWidth="1"/>
    <col min="38" max="38" width="15.42578125" style="19" hidden="1" customWidth="1"/>
    <col min="39" max="41" width="22.85546875" style="19" hidden="1" customWidth="1"/>
    <col min="42" max="42" width="22.85546875" style="6" hidden="1" customWidth="1"/>
    <col min="43" max="43" width="22.85546875" style="19" hidden="1" customWidth="1"/>
    <col min="44" max="52" width="22.85546875" style="6" hidden="1" customWidth="1"/>
    <col min="53" max="53" width="22.85546875" style="19" hidden="1" customWidth="1"/>
    <col min="54" max="55" width="22.85546875" style="6" hidden="1" customWidth="1"/>
    <col min="56" max="56" width="22.85546875" style="19" hidden="1" customWidth="1"/>
    <col min="57" max="60" width="22.85546875" style="6" hidden="1" customWidth="1"/>
    <col min="61" max="61" width="5.42578125" style="19" hidden="1" customWidth="1"/>
    <col min="62" max="63" width="22.85546875" style="6" hidden="1" customWidth="1"/>
    <col min="64" max="64" width="28.42578125" style="6" hidden="1" customWidth="1"/>
    <col min="65" max="65" width="45.5703125" style="18" hidden="1" customWidth="1"/>
    <col min="66" max="66" width="10.85546875" hidden="1" customWidth="1"/>
    <col min="67" max="67" width="26.28515625" customWidth="1"/>
    <col min="68" max="68" width="32.28515625" customWidth="1"/>
    <col min="69" max="69" width="9.140625" customWidth="1"/>
  </cols>
  <sheetData>
    <row r="1" spans="1:66" ht="118.5" customHeight="1" thickBot="1" x14ac:dyDescent="0.3">
      <c r="A1" s="61" t="s">
        <v>23</v>
      </c>
      <c r="B1" s="62" t="s">
        <v>98</v>
      </c>
      <c r="C1" s="63" t="s">
        <v>70</v>
      </c>
      <c r="D1" s="63" t="s">
        <v>0</v>
      </c>
      <c r="E1" s="63" t="s">
        <v>634</v>
      </c>
      <c r="F1" s="64" t="s">
        <v>102</v>
      </c>
      <c r="G1" s="64" t="s">
        <v>92</v>
      </c>
      <c r="H1" s="64" t="s">
        <v>104</v>
      </c>
      <c r="I1" s="64" t="s">
        <v>106</v>
      </c>
      <c r="J1" s="63" t="s">
        <v>4</v>
      </c>
      <c r="K1" s="63" t="s">
        <v>118</v>
      </c>
      <c r="L1" s="63" t="s">
        <v>21</v>
      </c>
      <c r="M1" s="63" t="s">
        <v>594</v>
      </c>
      <c r="N1" s="63" t="s">
        <v>22</v>
      </c>
      <c r="O1" s="63" t="s">
        <v>1</v>
      </c>
      <c r="P1" s="63" t="s">
        <v>2</v>
      </c>
      <c r="Q1" s="63" t="s">
        <v>3</v>
      </c>
      <c r="R1" s="65" t="s">
        <v>633</v>
      </c>
      <c r="S1" s="64" t="s">
        <v>5</v>
      </c>
      <c r="T1" s="64" t="s">
        <v>614</v>
      </c>
      <c r="U1" s="64" t="s">
        <v>6</v>
      </c>
      <c r="V1" s="64" t="s">
        <v>7</v>
      </c>
      <c r="W1" s="64" t="s">
        <v>8</v>
      </c>
      <c r="X1" s="64" t="s">
        <v>580</v>
      </c>
      <c r="Y1" s="66" t="s">
        <v>595</v>
      </c>
      <c r="Z1" s="20"/>
      <c r="AA1" s="37" t="s">
        <v>41</v>
      </c>
      <c r="AB1" s="38" t="s">
        <v>40</v>
      </c>
      <c r="AC1" s="38" t="s">
        <v>75</v>
      </c>
      <c r="AD1" s="38" t="s">
        <v>64</v>
      </c>
      <c r="AE1" s="36" t="s">
        <v>26</v>
      </c>
      <c r="AF1" s="36" t="s">
        <v>75</v>
      </c>
      <c r="AG1" s="36" t="s">
        <v>71</v>
      </c>
      <c r="AH1" s="36" t="s">
        <v>26</v>
      </c>
      <c r="AI1" s="36" t="s">
        <v>75</v>
      </c>
      <c r="AJ1" s="36" t="s">
        <v>71</v>
      </c>
      <c r="AK1" s="36" t="s">
        <v>26</v>
      </c>
      <c r="AL1" s="36" t="s">
        <v>75</v>
      </c>
      <c r="AM1" s="36" t="s">
        <v>71</v>
      </c>
      <c r="AN1" s="37" t="s">
        <v>45</v>
      </c>
      <c r="AO1" s="38" t="s">
        <v>38</v>
      </c>
      <c r="AP1" s="36" t="s">
        <v>27</v>
      </c>
      <c r="AQ1" s="36" t="s">
        <v>75</v>
      </c>
      <c r="AR1" s="36" t="s">
        <v>72</v>
      </c>
      <c r="AS1" s="37" t="s">
        <v>42</v>
      </c>
      <c r="AT1" s="38" t="s">
        <v>39</v>
      </c>
      <c r="AU1" s="38" t="s">
        <v>89</v>
      </c>
      <c r="AV1" s="38" t="s">
        <v>63</v>
      </c>
      <c r="AW1" s="38" t="s">
        <v>39</v>
      </c>
      <c r="AX1" s="38" t="s">
        <v>89</v>
      </c>
      <c r="AY1" s="38" t="s">
        <v>63</v>
      </c>
      <c r="AZ1" s="36" t="s">
        <v>46</v>
      </c>
      <c r="BA1" s="36" t="s">
        <v>75</v>
      </c>
      <c r="BB1" s="36" t="s">
        <v>73</v>
      </c>
      <c r="BC1" s="36" t="s">
        <v>46</v>
      </c>
      <c r="BD1" s="36" t="s">
        <v>75</v>
      </c>
      <c r="BE1" s="36" t="s">
        <v>73</v>
      </c>
      <c r="BF1" s="37" t="s">
        <v>44</v>
      </c>
      <c r="BG1" s="36" t="s">
        <v>28</v>
      </c>
      <c r="BH1" s="38" t="s">
        <v>43</v>
      </c>
      <c r="BI1" s="20"/>
      <c r="BJ1" s="34" t="s">
        <v>35</v>
      </c>
      <c r="BK1" s="35" t="s">
        <v>36</v>
      </c>
      <c r="BL1" s="36" t="s">
        <v>37</v>
      </c>
      <c r="BM1" s="8"/>
      <c r="BN1" s="1" t="s">
        <v>9</v>
      </c>
    </row>
    <row r="2" spans="1:66" s="2" customFormat="1" ht="54" x14ac:dyDescent="0.25">
      <c r="A2" s="67">
        <v>1</v>
      </c>
      <c r="B2" s="68"/>
      <c r="C2" s="69" t="s">
        <v>574</v>
      </c>
      <c r="D2" s="70" t="s">
        <v>575</v>
      </c>
      <c r="E2" s="71" t="s">
        <v>164</v>
      </c>
      <c r="F2" s="72" t="s">
        <v>578</v>
      </c>
      <c r="G2" s="73"/>
      <c r="H2" s="74" t="s">
        <v>317</v>
      </c>
      <c r="I2" s="75" t="s">
        <v>579</v>
      </c>
      <c r="J2" s="76" t="s">
        <v>331</v>
      </c>
      <c r="K2" s="76" t="s">
        <v>119</v>
      </c>
      <c r="L2" s="73">
        <v>18720000000</v>
      </c>
      <c r="M2" s="77">
        <v>0</v>
      </c>
      <c r="N2" s="78">
        <f t="shared" ref="N2:N4" si="0">SUM(L2:M2)</f>
        <v>18720000000</v>
      </c>
      <c r="O2" s="73"/>
      <c r="P2" s="73">
        <v>0</v>
      </c>
      <c r="Q2" s="73"/>
      <c r="R2" s="79">
        <v>0.4</v>
      </c>
      <c r="S2" s="80"/>
      <c r="T2" s="81"/>
      <c r="U2" s="80"/>
      <c r="V2" s="80">
        <f>U2+S2</f>
        <v>0</v>
      </c>
      <c r="W2" s="73"/>
      <c r="X2" s="82" t="s">
        <v>581</v>
      </c>
      <c r="Y2" s="83" t="s">
        <v>583</v>
      </c>
      <c r="Z2" s="42"/>
      <c r="AA2" s="43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2"/>
      <c r="BJ2" s="43"/>
      <c r="BK2" s="44"/>
      <c r="BL2" s="45"/>
      <c r="BM2" s="9"/>
      <c r="BN2" s="16"/>
    </row>
    <row r="3" spans="1:66" s="2" customFormat="1" ht="49.5" x14ac:dyDescent="0.25">
      <c r="A3" s="67">
        <v>2</v>
      </c>
      <c r="B3" s="68"/>
      <c r="C3" s="69" t="s">
        <v>573</v>
      </c>
      <c r="D3" s="70" t="s">
        <v>577</v>
      </c>
      <c r="E3" s="71" t="s">
        <v>164</v>
      </c>
      <c r="F3" s="72"/>
      <c r="G3" s="73"/>
      <c r="H3" s="74"/>
      <c r="I3" s="74"/>
      <c r="J3" s="76" t="s">
        <v>331</v>
      </c>
      <c r="K3" s="76" t="s">
        <v>119</v>
      </c>
      <c r="L3" s="73">
        <v>94419000000</v>
      </c>
      <c r="M3" s="77">
        <v>0</v>
      </c>
      <c r="N3" s="78">
        <f t="shared" si="0"/>
        <v>94419000000</v>
      </c>
      <c r="O3" s="73"/>
      <c r="P3" s="73"/>
      <c r="Q3" s="73"/>
      <c r="R3" s="79">
        <v>0.4</v>
      </c>
      <c r="S3" s="80"/>
      <c r="T3" s="81"/>
      <c r="U3" s="80"/>
      <c r="V3" s="80">
        <f>U3+S3</f>
        <v>0</v>
      </c>
      <c r="W3" s="73"/>
      <c r="X3" s="82" t="s">
        <v>581</v>
      </c>
      <c r="Y3" s="83" t="s">
        <v>582</v>
      </c>
      <c r="Z3" s="42"/>
      <c r="AA3" s="43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2"/>
      <c r="BJ3" s="43"/>
      <c r="BK3" s="44"/>
      <c r="BL3" s="45"/>
      <c r="BM3" s="9"/>
      <c r="BN3" s="16"/>
    </row>
    <row r="4" spans="1:66" s="2" customFormat="1" ht="49.5" x14ac:dyDescent="0.25">
      <c r="A4" s="67">
        <v>3</v>
      </c>
      <c r="B4" s="68"/>
      <c r="C4" s="69" t="s">
        <v>572</v>
      </c>
      <c r="D4" s="70" t="s">
        <v>576</v>
      </c>
      <c r="E4" s="71" t="s">
        <v>164</v>
      </c>
      <c r="F4" s="72"/>
      <c r="G4" s="73"/>
      <c r="H4" s="74"/>
      <c r="I4" s="74"/>
      <c r="J4" s="76" t="s">
        <v>331</v>
      </c>
      <c r="K4" s="76" t="s">
        <v>119</v>
      </c>
      <c r="L4" s="73">
        <v>74490000000</v>
      </c>
      <c r="M4" s="77">
        <v>0</v>
      </c>
      <c r="N4" s="78">
        <f t="shared" si="0"/>
        <v>74490000000</v>
      </c>
      <c r="O4" s="73"/>
      <c r="P4" s="73"/>
      <c r="Q4" s="73"/>
      <c r="R4" s="79">
        <v>0.4</v>
      </c>
      <c r="S4" s="80"/>
      <c r="T4" s="81"/>
      <c r="U4" s="80">
        <v>0</v>
      </c>
      <c r="V4" s="80">
        <f>U4+S4</f>
        <v>0</v>
      </c>
      <c r="W4" s="73"/>
      <c r="X4" s="82" t="s">
        <v>581</v>
      </c>
      <c r="Y4" s="83" t="s">
        <v>582</v>
      </c>
      <c r="Z4" s="42"/>
      <c r="AA4" s="43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2"/>
      <c r="BJ4" s="43"/>
      <c r="BK4" s="44"/>
      <c r="BL4" s="45"/>
      <c r="BM4" s="9"/>
      <c r="BN4" s="16"/>
    </row>
    <row r="5" spans="1:66" s="2" customFormat="1" ht="54" x14ac:dyDescent="0.25">
      <c r="A5" s="67">
        <v>4</v>
      </c>
      <c r="B5" s="68"/>
      <c r="C5" s="69" t="s">
        <v>568</v>
      </c>
      <c r="D5" s="148" t="s">
        <v>570</v>
      </c>
      <c r="E5" s="155" t="s">
        <v>569</v>
      </c>
      <c r="F5" s="72" t="s">
        <v>547</v>
      </c>
      <c r="G5" s="73"/>
      <c r="H5" s="84" t="s">
        <v>571</v>
      </c>
      <c r="I5" s="85" t="s">
        <v>156</v>
      </c>
      <c r="J5" s="76" t="s">
        <v>20</v>
      </c>
      <c r="K5" s="76" t="s">
        <v>117</v>
      </c>
      <c r="L5" s="77">
        <v>221184</v>
      </c>
      <c r="M5" s="77">
        <v>0</v>
      </c>
      <c r="N5" s="77">
        <f t="shared" ref="N5:N12" si="1">SUM(L5:M5)</f>
        <v>221184</v>
      </c>
      <c r="O5" s="73">
        <v>0</v>
      </c>
      <c r="P5" s="78">
        <f>-N5*10%</f>
        <v>-22118.400000000001</v>
      </c>
      <c r="Q5" s="73">
        <f>SUM(N5:P5)</f>
        <v>199065.60000000001</v>
      </c>
      <c r="R5" s="79">
        <v>0.25</v>
      </c>
      <c r="S5" s="86">
        <f>L5*R5</f>
        <v>55296</v>
      </c>
      <c r="T5" s="81"/>
      <c r="U5" s="80"/>
      <c r="V5" s="80"/>
      <c r="W5" s="73"/>
      <c r="X5" s="87"/>
      <c r="Y5" s="83"/>
      <c r="Z5" s="42"/>
      <c r="AA5" s="43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2"/>
      <c r="BJ5" s="43"/>
      <c r="BK5" s="44"/>
      <c r="BL5" s="45"/>
      <c r="BM5" s="9"/>
      <c r="BN5" s="16"/>
    </row>
    <row r="6" spans="1:66" s="2" customFormat="1" ht="54" x14ac:dyDescent="0.25">
      <c r="A6" s="67">
        <v>5</v>
      </c>
      <c r="B6" s="68"/>
      <c r="C6" s="69" t="s">
        <v>567</v>
      </c>
      <c r="D6" s="148" t="s">
        <v>564</v>
      </c>
      <c r="E6" s="71" t="s">
        <v>563</v>
      </c>
      <c r="F6" s="72" t="s">
        <v>558</v>
      </c>
      <c r="G6" s="73"/>
      <c r="H6" s="84" t="s">
        <v>565</v>
      </c>
      <c r="I6" s="85" t="s">
        <v>566</v>
      </c>
      <c r="J6" s="76" t="s">
        <v>20</v>
      </c>
      <c r="K6" s="76" t="s">
        <v>117</v>
      </c>
      <c r="L6" s="77">
        <v>2551500</v>
      </c>
      <c r="M6" s="77">
        <v>0</v>
      </c>
      <c r="N6" s="77">
        <f t="shared" si="1"/>
        <v>2551500</v>
      </c>
      <c r="O6" s="73">
        <v>0</v>
      </c>
      <c r="P6" s="78">
        <f>-N6*10%</f>
        <v>-255150</v>
      </c>
      <c r="Q6" s="73">
        <f>SUM(N6:P6)</f>
        <v>2296350</v>
      </c>
      <c r="R6" s="79">
        <v>0.25</v>
      </c>
      <c r="S6" s="86"/>
      <c r="T6" s="81"/>
      <c r="U6" s="80"/>
      <c r="V6" s="80"/>
      <c r="W6" s="73"/>
      <c r="X6" s="87"/>
      <c r="Y6" s="83"/>
      <c r="Z6" s="42"/>
      <c r="AA6" s="43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2"/>
      <c r="BJ6" s="43"/>
      <c r="BK6" s="44"/>
      <c r="BL6" s="45"/>
      <c r="BM6" s="9"/>
      <c r="BN6" s="16"/>
    </row>
    <row r="7" spans="1:66" s="2" customFormat="1" ht="27" x14ac:dyDescent="0.25">
      <c r="A7" s="67"/>
      <c r="B7" s="68"/>
      <c r="C7" s="69" t="s">
        <v>642</v>
      </c>
      <c r="D7" s="148"/>
      <c r="E7" s="71"/>
      <c r="F7" s="72"/>
      <c r="G7" s="73"/>
      <c r="H7" s="84"/>
      <c r="I7" s="85"/>
      <c r="J7" s="76"/>
      <c r="K7" s="76"/>
      <c r="L7" s="77"/>
      <c r="M7" s="77"/>
      <c r="N7" s="77"/>
      <c r="O7" s="73"/>
      <c r="P7" s="78"/>
      <c r="Q7" s="73"/>
      <c r="R7" s="79"/>
      <c r="S7" s="86"/>
      <c r="T7" s="81"/>
      <c r="U7" s="80"/>
      <c r="V7" s="80"/>
      <c r="W7" s="73"/>
      <c r="X7" s="87"/>
      <c r="Y7" s="83"/>
      <c r="Z7" s="42"/>
      <c r="AA7" s="43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2"/>
      <c r="BJ7" s="43"/>
      <c r="BK7" s="44"/>
      <c r="BL7" s="45"/>
      <c r="BM7" s="9"/>
      <c r="BN7" s="16"/>
    </row>
    <row r="8" spans="1:66" s="2" customFormat="1" ht="54" x14ac:dyDescent="0.25">
      <c r="A8" s="67">
        <v>6</v>
      </c>
      <c r="B8" s="68"/>
      <c r="C8" s="69" t="s">
        <v>560</v>
      </c>
      <c r="D8" s="148" t="s">
        <v>561</v>
      </c>
      <c r="E8" s="155" t="s">
        <v>131</v>
      </c>
      <c r="F8" s="72" t="s">
        <v>562</v>
      </c>
      <c r="G8" s="73"/>
      <c r="H8" s="84" t="s">
        <v>259</v>
      </c>
      <c r="I8" s="85" t="s">
        <v>156</v>
      </c>
      <c r="J8" s="76" t="s">
        <v>20</v>
      </c>
      <c r="K8" s="76" t="s">
        <v>117</v>
      </c>
      <c r="L8" s="77">
        <v>45000</v>
      </c>
      <c r="M8" s="77">
        <v>0</v>
      </c>
      <c r="N8" s="77">
        <f t="shared" si="1"/>
        <v>45000</v>
      </c>
      <c r="O8" s="73">
        <v>0</v>
      </c>
      <c r="P8" s="73">
        <v>0</v>
      </c>
      <c r="Q8" s="73">
        <f>SUM(N8:P8)</f>
        <v>45000</v>
      </c>
      <c r="R8" s="79">
        <v>0.25</v>
      </c>
      <c r="S8" s="86">
        <f>L8*R8</f>
        <v>11250</v>
      </c>
      <c r="T8" s="81"/>
      <c r="U8" s="80">
        <v>0</v>
      </c>
      <c r="V8" s="80">
        <f>U8+S8</f>
        <v>11250</v>
      </c>
      <c r="W8" s="73">
        <f>Q8-V8</f>
        <v>33750</v>
      </c>
      <c r="X8" s="82" t="s">
        <v>600</v>
      </c>
      <c r="Y8" s="88" t="s">
        <v>602</v>
      </c>
      <c r="Z8" s="42"/>
      <c r="AA8" s="43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2"/>
      <c r="BJ8" s="43"/>
      <c r="BK8" s="44"/>
      <c r="BL8" s="45"/>
      <c r="BM8" s="9"/>
      <c r="BN8" s="16"/>
    </row>
    <row r="9" spans="1:66" s="2" customFormat="1" ht="54" x14ac:dyDescent="0.25">
      <c r="A9" s="67">
        <v>7</v>
      </c>
      <c r="B9" s="68"/>
      <c r="C9" s="69" t="s">
        <v>557</v>
      </c>
      <c r="D9" s="148" t="s">
        <v>635</v>
      </c>
      <c r="E9" s="71" t="s">
        <v>265</v>
      </c>
      <c r="F9" s="72" t="s">
        <v>556</v>
      </c>
      <c r="G9" s="73" t="s">
        <v>554</v>
      </c>
      <c r="H9" s="74" t="s">
        <v>559</v>
      </c>
      <c r="I9" s="85" t="s">
        <v>141</v>
      </c>
      <c r="J9" s="76" t="s">
        <v>10</v>
      </c>
      <c r="K9" s="76" t="s">
        <v>119</v>
      </c>
      <c r="L9" s="73">
        <v>6284675250</v>
      </c>
      <c r="M9" s="73">
        <v>0</v>
      </c>
      <c r="N9" s="73">
        <f t="shared" si="1"/>
        <v>6284675250</v>
      </c>
      <c r="O9" s="73">
        <f>N9*9%</f>
        <v>565620772.5</v>
      </c>
      <c r="P9" s="73">
        <v>0</v>
      </c>
      <c r="Q9" s="73">
        <f>SUM(N9:P9)</f>
        <v>6850296022.5</v>
      </c>
      <c r="R9" s="79">
        <v>0.7</v>
      </c>
      <c r="S9" s="80">
        <f>L9*R9</f>
        <v>4399272675</v>
      </c>
      <c r="T9" s="81"/>
      <c r="U9" s="80"/>
      <c r="V9" s="80"/>
      <c r="W9" s="73"/>
      <c r="X9" s="82" t="s">
        <v>586</v>
      </c>
      <c r="Y9" s="83"/>
      <c r="Z9" s="42"/>
      <c r="AA9" s="43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2"/>
      <c r="BJ9" s="43"/>
      <c r="BK9" s="44"/>
      <c r="BL9" s="45"/>
      <c r="BM9" s="9"/>
      <c r="BN9" s="16"/>
    </row>
    <row r="10" spans="1:66" s="2" customFormat="1" ht="54" x14ac:dyDescent="0.25">
      <c r="A10" s="67">
        <v>8</v>
      </c>
      <c r="B10" s="68"/>
      <c r="C10" s="69" t="s">
        <v>552</v>
      </c>
      <c r="D10" s="70" t="s">
        <v>553</v>
      </c>
      <c r="E10" s="71" t="s">
        <v>211</v>
      </c>
      <c r="F10" s="72" t="s">
        <v>547</v>
      </c>
      <c r="G10" s="73" t="s">
        <v>554</v>
      </c>
      <c r="H10" s="74" t="s">
        <v>213</v>
      </c>
      <c r="I10" s="85" t="s">
        <v>555</v>
      </c>
      <c r="J10" s="76" t="s">
        <v>20</v>
      </c>
      <c r="K10" s="76" t="s">
        <v>119</v>
      </c>
      <c r="L10" s="77">
        <v>49000</v>
      </c>
      <c r="M10" s="77">
        <v>0</v>
      </c>
      <c r="N10" s="77">
        <f t="shared" si="1"/>
        <v>49000</v>
      </c>
      <c r="O10" s="73"/>
      <c r="P10" s="73"/>
      <c r="Q10" s="73"/>
      <c r="R10" s="79">
        <v>0.25</v>
      </c>
      <c r="S10" s="89">
        <f t="shared" ref="S10" si="2">N10*R10</f>
        <v>12250</v>
      </c>
      <c r="T10" s="81"/>
      <c r="U10" s="80"/>
      <c r="V10" s="80"/>
      <c r="W10" s="73"/>
      <c r="X10" s="82" t="s">
        <v>590</v>
      </c>
      <c r="Y10" s="83" t="s">
        <v>589</v>
      </c>
      <c r="Z10" s="42"/>
      <c r="AA10" s="43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2"/>
      <c r="BJ10" s="43"/>
      <c r="BK10" s="44"/>
      <c r="BL10" s="45"/>
      <c r="BM10" s="9"/>
      <c r="BN10" s="16"/>
    </row>
    <row r="11" spans="1:66" s="2" customFormat="1" ht="54" x14ac:dyDescent="0.25">
      <c r="A11" s="67">
        <v>9</v>
      </c>
      <c r="B11" s="68"/>
      <c r="C11" s="69" t="s">
        <v>550</v>
      </c>
      <c r="D11" s="70" t="s">
        <v>541</v>
      </c>
      <c r="E11" s="71" t="s">
        <v>125</v>
      </c>
      <c r="F11" s="72" t="s">
        <v>538</v>
      </c>
      <c r="G11" s="73" t="s">
        <v>548</v>
      </c>
      <c r="H11" s="74" t="s">
        <v>551</v>
      </c>
      <c r="I11" s="85" t="s">
        <v>141</v>
      </c>
      <c r="J11" s="76" t="s">
        <v>20</v>
      </c>
      <c r="K11" s="76" t="s">
        <v>119</v>
      </c>
      <c r="L11" s="77">
        <v>72039.929999999993</v>
      </c>
      <c r="M11" s="77">
        <v>0</v>
      </c>
      <c r="N11" s="77">
        <f t="shared" si="1"/>
        <v>72039.929999999993</v>
      </c>
      <c r="O11" s="73">
        <f>N11*9%</f>
        <v>6483.5936999999994</v>
      </c>
      <c r="P11" s="73">
        <v>0</v>
      </c>
      <c r="Q11" s="73">
        <f>SUM(N11:P11)</f>
        <v>78523.523699999991</v>
      </c>
      <c r="R11" s="79">
        <v>0.25</v>
      </c>
      <c r="S11" s="86">
        <f>N11*R11</f>
        <v>18009.982499999998</v>
      </c>
      <c r="T11" s="81"/>
      <c r="U11" s="80"/>
      <c r="V11" s="80"/>
      <c r="W11" s="73"/>
      <c r="X11" s="82" t="s">
        <v>593</v>
      </c>
      <c r="Y11" s="83"/>
      <c r="Z11" s="42"/>
      <c r="AA11" s="43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2"/>
      <c r="BJ11" s="43"/>
      <c r="BK11" s="44"/>
      <c r="BL11" s="45"/>
      <c r="BM11" s="9"/>
      <c r="BN11" s="16"/>
    </row>
    <row r="12" spans="1:66" s="2" customFormat="1" ht="54" x14ac:dyDescent="0.25">
      <c r="A12" s="67">
        <v>10</v>
      </c>
      <c r="B12" s="68"/>
      <c r="C12" s="69" t="s">
        <v>545</v>
      </c>
      <c r="D12" s="70" t="s">
        <v>546</v>
      </c>
      <c r="E12" s="71" t="s">
        <v>121</v>
      </c>
      <c r="F12" s="72" t="s">
        <v>547</v>
      </c>
      <c r="G12" s="73" t="s">
        <v>548</v>
      </c>
      <c r="H12" s="74" t="s">
        <v>549</v>
      </c>
      <c r="I12" s="85" t="s">
        <v>124</v>
      </c>
      <c r="J12" s="76" t="s">
        <v>20</v>
      </c>
      <c r="K12" s="76" t="s">
        <v>119</v>
      </c>
      <c r="L12" s="77">
        <v>215472</v>
      </c>
      <c r="M12" s="77">
        <v>0</v>
      </c>
      <c r="N12" s="77">
        <f t="shared" si="1"/>
        <v>215472</v>
      </c>
      <c r="O12" s="73"/>
      <c r="P12" s="73"/>
      <c r="Q12" s="73"/>
      <c r="R12" s="79">
        <v>0.3</v>
      </c>
      <c r="S12" s="90">
        <f t="shared" ref="S12" si="3">N12*R12</f>
        <v>64641.599999999999</v>
      </c>
      <c r="T12" s="91"/>
      <c r="U12" s="80"/>
      <c r="V12" s="80"/>
      <c r="W12" s="73"/>
      <c r="X12" s="82" t="s">
        <v>590</v>
      </c>
      <c r="Y12" s="83" t="s">
        <v>589</v>
      </c>
      <c r="Z12" s="42"/>
      <c r="AA12" s="43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2"/>
      <c r="BJ12" s="43"/>
      <c r="BK12" s="44"/>
      <c r="BL12" s="45"/>
      <c r="BM12" s="9"/>
      <c r="BN12" s="16"/>
    </row>
    <row r="13" spans="1:66" s="2" customFormat="1" ht="54" x14ac:dyDescent="0.25">
      <c r="A13" s="67">
        <v>11</v>
      </c>
      <c r="B13" s="68"/>
      <c r="C13" s="69" t="s">
        <v>540</v>
      </c>
      <c r="D13" s="70" t="s">
        <v>541</v>
      </c>
      <c r="E13" s="71" t="s">
        <v>125</v>
      </c>
      <c r="F13" s="72" t="s">
        <v>542</v>
      </c>
      <c r="G13" s="73" t="s">
        <v>544</v>
      </c>
      <c r="H13" s="74" t="s">
        <v>543</v>
      </c>
      <c r="I13" s="85" t="s">
        <v>141</v>
      </c>
      <c r="J13" s="76" t="s">
        <v>20</v>
      </c>
      <c r="K13" s="76" t="s">
        <v>119</v>
      </c>
      <c r="L13" s="77">
        <v>19866</v>
      </c>
      <c r="M13" s="92">
        <v>0</v>
      </c>
      <c r="N13" s="77">
        <f t="shared" ref="N13:N14" si="4">SUM(L13:M13)</f>
        <v>19866</v>
      </c>
      <c r="O13" s="73">
        <f>N13*9%</f>
        <v>1787.9399999999998</v>
      </c>
      <c r="P13" s="73">
        <v>0</v>
      </c>
      <c r="Q13" s="93">
        <f t="shared" ref="Q13" si="5">SUM(N13:P13)</f>
        <v>21653.94</v>
      </c>
      <c r="R13" s="79">
        <v>0.25</v>
      </c>
      <c r="S13" s="89">
        <f t="shared" ref="S13:S14" si="6">N13*R13</f>
        <v>4966.5</v>
      </c>
      <c r="T13" s="81"/>
      <c r="U13" s="80"/>
      <c r="V13" s="80"/>
      <c r="W13" s="73"/>
      <c r="X13" s="82" t="s">
        <v>591</v>
      </c>
      <c r="Y13" s="83"/>
      <c r="Z13" s="42"/>
      <c r="AA13" s="43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2"/>
      <c r="BJ13" s="43"/>
      <c r="BK13" s="44"/>
      <c r="BL13" s="45"/>
      <c r="BM13" s="9"/>
      <c r="BN13" s="16"/>
    </row>
    <row r="14" spans="1:66" s="2" customFormat="1" ht="54" x14ac:dyDescent="0.25">
      <c r="A14" s="67">
        <v>12</v>
      </c>
      <c r="B14" s="68"/>
      <c r="C14" s="69" t="s">
        <v>535</v>
      </c>
      <c r="D14" s="148" t="s">
        <v>536</v>
      </c>
      <c r="E14" s="71" t="s">
        <v>537</v>
      </c>
      <c r="F14" s="72" t="s">
        <v>538</v>
      </c>
      <c r="G14" s="87"/>
      <c r="H14" s="74" t="s">
        <v>539</v>
      </c>
      <c r="I14" s="85" t="s">
        <v>156</v>
      </c>
      <c r="J14" s="76" t="s">
        <v>20</v>
      </c>
      <c r="K14" s="76" t="s">
        <v>117</v>
      </c>
      <c r="L14" s="77">
        <v>2399816</v>
      </c>
      <c r="M14" s="77">
        <v>0</v>
      </c>
      <c r="N14" s="77">
        <f t="shared" si="4"/>
        <v>2399816</v>
      </c>
      <c r="O14" s="73"/>
      <c r="P14" s="73"/>
      <c r="Q14" s="73"/>
      <c r="R14" s="79">
        <v>0.1</v>
      </c>
      <c r="S14" s="86">
        <f t="shared" si="6"/>
        <v>239981.6</v>
      </c>
      <c r="T14" s="81"/>
      <c r="U14" s="80"/>
      <c r="V14" s="80"/>
      <c r="W14" s="73"/>
      <c r="X14" s="82" t="s">
        <v>590</v>
      </c>
      <c r="Y14" s="83"/>
      <c r="Z14" s="42"/>
      <c r="AA14" s="43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2"/>
      <c r="BJ14" s="43"/>
      <c r="BK14" s="44"/>
      <c r="BL14" s="45"/>
      <c r="BM14" s="9"/>
      <c r="BN14" s="16"/>
    </row>
    <row r="15" spans="1:66" s="2" customFormat="1" ht="54" x14ac:dyDescent="0.25">
      <c r="A15" s="67">
        <v>13</v>
      </c>
      <c r="B15" s="68"/>
      <c r="C15" s="69" t="s">
        <v>97</v>
      </c>
      <c r="D15" s="70" t="s">
        <v>99</v>
      </c>
      <c r="E15" s="71" t="s">
        <v>100</v>
      </c>
      <c r="F15" s="72" t="s">
        <v>103</v>
      </c>
      <c r="G15" s="73" t="s">
        <v>105</v>
      </c>
      <c r="H15" s="85" t="s">
        <v>101</v>
      </c>
      <c r="I15" s="85" t="s">
        <v>110</v>
      </c>
      <c r="J15" s="76" t="s">
        <v>10</v>
      </c>
      <c r="K15" s="76" t="s">
        <v>119</v>
      </c>
      <c r="L15" s="73">
        <v>1830000000</v>
      </c>
      <c r="M15" s="73">
        <v>0</v>
      </c>
      <c r="N15" s="73">
        <f>SUM(L15:M15)</f>
        <v>1830000000</v>
      </c>
      <c r="O15" s="73">
        <f>N15*9%</f>
        <v>164700000</v>
      </c>
      <c r="P15" s="73">
        <f>-N15*0%</f>
        <v>0</v>
      </c>
      <c r="Q15" s="73">
        <f>SUM(N15:P15)</f>
        <v>1994700000</v>
      </c>
      <c r="R15" s="79">
        <v>0.5</v>
      </c>
      <c r="S15" s="80">
        <f>N15*R15</f>
        <v>915000000</v>
      </c>
      <c r="T15" s="81"/>
      <c r="U15" s="80">
        <v>1079700000</v>
      </c>
      <c r="V15" s="80">
        <f t="shared" ref="V15:V27" si="7">U15+S15</f>
        <v>1994700000</v>
      </c>
      <c r="W15" s="73">
        <f t="shared" ref="W15:W49" si="8">Q15-V15</f>
        <v>0</v>
      </c>
      <c r="X15" s="73" t="s">
        <v>596</v>
      </c>
      <c r="Y15" s="83" t="s">
        <v>597</v>
      </c>
      <c r="Z15" s="42"/>
      <c r="AA15" s="43"/>
      <c r="AB15" s="44"/>
      <c r="AC15" s="44"/>
      <c r="AD15" s="44"/>
      <c r="AE15" s="44">
        <v>87860044265</v>
      </c>
      <c r="AF15" s="44">
        <v>105936</v>
      </c>
      <c r="AG15" s="44" t="s">
        <v>47</v>
      </c>
      <c r="AH15" s="44">
        <v>26519589018</v>
      </c>
      <c r="AI15" s="44">
        <v>105936</v>
      </c>
      <c r="AJ15" s="44" t="s">
        <v>48</v>
      </c>
      <c r="AK15" s="44">
        <v>60000000000</v>
      </c>
      <c r="AL15" s="44">
        <v>105936</v>
      </c>
      <c r="AM15" s="44" t="s">
        <v>49</v>
      </c>
      <c r="AN15" s="44"/>
      <c r="AO15" s="44">
        <v>652558788757</v>
      </c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>
        <v>97622271405</v>
      </c>
      <c r="BD15" s="44">
        <v>105936</v>
      </c>
      <c r="BE15" s="44" t="s">
        <v>47</v>
      </c>
      <c r="BF15" s="44">
        <v>0</v>
      </c>
      <c r="BG15" s="44">
        <v>0</v>
      </c>
      <c r="BH15" s="44"/>
      <c r="BI15" s="42"/>
      <c r="BJ15" s="43">
        <v>83121840239</v>
      </c>
      <c r="BK15" s="44">
        <v>41560920120</v>
      </c>
      <c r="BL15" s="45">
        <f>BJ15+BK15</f>
        <v>124682760359</v>
      </c>
      <c r="BM15" s="9"/>
      <c r="BN15" s="16" t="s">
        <v>11</v>
      </c>
    </row>
    <row r="16" spans="1:66" s="2" customFormat="1" ht="54" x14ac:dyDescent="0.25">
      <c r="A16" s="67">
        <v>14</v>
      </c>
      <c r="B16" s="94"/>
      <c r="C16" s="95" t="s">
        <v>107</v>
      </c>
      <c r="D16" s="149" t="s">
        <v>109</v>
      </c>
      <c r="E16" s="96" t="s">
        <v>108</v>
      </c>
      <c r="F16" s="97" t="s">
        <v>105</v>
      </c>
      <c r="G16" s="87"/>
      <c r="H16" s="98" t="s">
        <v>116</v>
      </c>
      <c r="I16" s="85" t="s">
        <v>111</v>
      </c>
      <c r="J16" s="76" t="s">
        <v>20</v>
      </c>
      <c r="K16" s="76" t="s">
        <v>117</v>
      </c>
      <c r="L16" s="92">
        <v>119800</v>
      </c>
      <c r="M16" s="92">
        <v>0</v>
      </c>
      <c r="N16" s="77">
        <f t="shared" ref="N16:N40" si="9">SUM(L16:M16)</f>
        <v>119800</v>
      </c>
      <c r="O16" s="73">
        <f t="shared" ref="O16:O52" si="10">N16*9%</f>
        <v>10782</v>
      </c>
      <c r="P16" s="78">
        <f>-N16*10%</f>
        <v>-11980</v>
      </c>
      <c r="Q16" s="93">
        <f t="shared" ref="Q16:Q51" si="11">SUM(N16:P16)</f>
        <v>118602</v>
      </c>
      <c r="R16" s="99">
        <v>0.25</v>
      </c>
      <c r="S16" s="90">
        <f t="shared" ref="S16:S18" si="12">N16*R16</f>
        <v>29950</v>
      </c>
      <c r="T16" s="100"/>
      <c r="U16" s="101">
        <v>0</v>
      </c>
      <c r="V16" s="80">
        <f t="shared" si="7"/>
        <v>29950</v>
      </c>
      <c r="W16" s="73">
        <f t="shared" si="8"/>
        <v>88652</v>
      </c>
      <c r="X16" s="82" t="s">
        <v>584</v>
      </c>
      <c r="Y16" s="83" t="s">
        <v>598</v>
      </c>
      <c r="Z16" s="42"/>
      <c r="AA16" s="43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>
        <v>22040177000</v>
      </c>
      <c r="AX16" s="44"/>
      <c r="AY16" s="44"/>
      <c r="AZ16" s="44"/>
      <c r="BA16" s="44"/>
      <c r="BB16" s="44"/>
      <c r="BC16" s="44"/>
      <c r="BD16" s="44"/>
      <c r="BE16" s="44"/>
      <c r="BF16" s="44">
        <v>0</v>
      </c>
      <c r="BG16" s="44">
        <v>0</v>
      </c>
      <c r="BH16" s="44"/>
      <c r="BI16" s="42"/>
      <c r="BJ16" s="43">
        <v>0</v>
      </c>
      <c r="BK16" s="44">
        <v>0</v>
      </c>
      <c r="BL16" s="45">
        <f t="shared" ref="BL16:BL53" si="13">BJ16+BK16</f>
        <v>0</v>
      </c>
      <c r="BM16" s="9"/>
      <c r="BN16" s="16"/>
    </row>
    <row r="17" spans="1:66" s="2" customFormat="1" ht="54" x14ac:dyDescent="0.25">
      <c r="A17" s="67">
        <v>15</v>
      </c>
      <c r="B17" s="94"/>
      <c r="C17" s="95" t="s">
        <v>112</v>
      </c>
      <c r="D17" s="150" t="s">
        <v>113</v>
      </c>
      <c r="E17" s="102" t="s">
        <v>114</v>
      </c>
      <c r="F17" s="97" t="s">
        <v>115</v>
      </c>
      <c r="G17" s="87"/>
      <c r="H17" s="98" t="s">
        <v>116</v>
      </c>
      <c r="I17" s="85" t="s">
        <v>156</v>
      </c>
      <c r="J17" s="76" t="s">
        <v>20</v>
      </c>
      <c r="K17" s="76" t="s">
        <v>117</v>
      </c>
      <c r="L17" s="92">
        <v>2349772</v>
      </c>
      <c r="M17" s="92">
        <v>0</v>
      </c>
      <c r="N17" s="77">
        <f t="shared" si="9"/>
        <v>2349772</v>
      </c>
      <c r="O17" s="73"/>
      <c r="P17" s="78">
        <f>-N17*10%</f>
        <v>-234977.2</v>
      </c>
      <c r="Q17" s="93">
        <f t="shared" si="11"/>
        <v>2114794.7999999998</v>
      </c>
      <c r="R17" s="103">
        <v>0.25</v>
      </c>
      <c r="S17" s="90">
        <f t="shared" si="12"/>
        <v>587443</v>
      </c>
      <c r="T17" s="100"/>
      <c r="U17" s="101">
        <v>0</v>
      </c>
      <c r="V17" s="80">
        <f t="shared" si="7"/>
        <v>587443</v>
      </c>
      <c r="W17" s="73">
        <f t="shared" si="8"/>
        <v>1527351.7999999998</v>
      </c>
      <c r="X17" s="82" t="s">
        <v>584</v>
      </c>
      <c r="Y17" s="83" t="s">
        <v>599</v>
      </c>
      <c r="Z17" s="42"/>
      <c r="AA17" s="43">
        <v>0</v>
      </c>
      <c r="AB17" s="44"/>
      <c r="AC17" s="44"/>
      <c r="AD17" s="44">
        <v>53200000000</v>
      </c>
      <c r="AE17" s="44"/>
      <c r="AF17" s="44"/>
      <c r="AG17" s="44"/>
      <c r="AH17" s="44"/>
      <c r="AI17" s="44"/>
      <c r="AJ17" s="44"/>
      <c r="AK17" s="44">
        <v>36798000000</v>
      </c>
      <c r="AL17" s="44">
        <v>109621</v>
      </c>
      <c r="AM17" s="44" t="s">
        <v>74</v>
      </c>
      <c r="AN17" s="44"/>
      <c r="AO17" s="44">
        <v>0</v>
      </c>
      <c r="AP17" s="44">
        <v>0</v>
      </c>
      <c r="AQ17" s="44"/>
      <c r="AR17" s="44"/>
      <c r="AS17" s="44"/>
      <c r="AT17" s="44"/>
      <c r="AU17" s="44"/>
      <c r="AV17" s="44"/>
      <c r="AW17" s="44">
        <v>29406889590</v>
      </c>
      <c r="AX17" s="44"/>
      <c r="AY17" s="44"/>
      <c r="AZ17" s="44">
        <v>14084089060</v>
      </c>
      <c r="BA17" s="44">
        <v>109493</v>
      </c>
      <c r="BB17" s="44" t="s">
        <v>76</v>
      </c>
      <c r="BC17" s="44">
        <v>6133000000</v>
      </c>
      <c r="BD17" s="44">
        <v>109621</v>
      </c>
      <c r="BE17" s="44" t="s">
        <v>77</v>
      </c>
      <c r="BF17" s="44">
        <v>0</v>
      </c>
      <c r="BG17" s="44">
        <v>0</v>
      </c>
      <c r="BH17" s="44"/>
      <c r="BI17" s="42"/>
      <c r="BJ17" s="43">
        <v>0</v>
      </c>
      <c r="BK17" s="44">
        <v>0</v>
      </c>
      <c r="BL17" s="45">
        <f t="shared" si="13"/>
        <v>0</v>
      </c>
      <c r="BM17" s="9"/>
      <c r="BN17" s="16" t="s">
        <v>12</v>
      </c>
    </row>
    <row r="18" spans="1:66" s="2" customFormat="1" ht="54" x14ac:dyDescent="0.25">
      <c r="A18" s="67">
        <v>16</v>
      </c>
      <c r="B18" s="94"/>
      <c r="C18" s="95" t="s">
        <v>122</v>
      </c>
      <c r="D18" s="104" t="s">
        <v>120</v>
      </c>
      <c r="E18" s="96" t="s">
        <v>121</v>
      </c>
      <c r="F18" s="97" t="s">
        <v>105</v>
      </c>
      <c r="G18" s="73" t="s">
        <v>544</v>
      </c>
      <c r="H18" s="98" t="s">
        <v>123</v>
      </c>
      <c r="I18" s="85" t="s">
        <v>124</v>
      </c>
      <c r="J18" s="76" t="s">
        <v>20</v>
      </c>
      <c r="K18" s="76" t="s">
        <v>119</v>
      </c>
      <c r="L18" s="77">
        <v>101955</v>
      </c>
      <c r="M18" s="77">
        <v>0</v>
      </c>
      <c r="N18" s="77">
        <f>SUM(L18:M18)</f>
        <v>101955</v>
      </c>
      <c r="O18" s="73">
        <f>N18*9%</f>
        <v>9175.9499999999989</v>
      </c>
      <c r="P18" s="78">
        <f>-N18*5%</f>
        <v>-5097.75</v>
      </c>
      <c r="Q18" s="93">
        <f>SUM(N18:P18)</f>
        <v>106033.2</v>
      </c>
      <c r="R18" s="99">
        <v>0.3</v>
      </c>
      <c r="S18" s="90">
        <f t="shared" si="12"/>
        <v>30586.5</v>
      </c>
      <c r="T18" s="100"/>
      <c r="U18" s="101">
        <v>0</v>
      </c>
      <c r="V18" s="80">
        <f t="shared" si="7"/>
        <v>30586.5</v>
      </c>
      <c r="W18" s="73">
        <f t="shared" si="8"/>
        <v>75446.7</v>
      </c>
      <c r="X18" s="82" t="s">
        <v>590</v>
      </c>
      <c r="Y18" s="83" t="s">
        <v>589</v>
      </c>
      <c r="Z18" s="42"/>
      <c r="AA18" s="43">
        <v>0</v>
      </c>
      <c r="AB18" s="44"/>
      <c r="AC18" s="44"/>
      <c r="AD18" s="44">
        <v>0</v>
      </c>
      <c r="AE18" s="44"/>
      <c r="AF18" s="44"/>
      <c r="AG18" s="44"/>
      <c r="AH18" s="44"/>
      <c r="AI18" s="44"/>
      <c r="AJ18" s="44"/>
      <c r="AK18" s="44">
        <v>40205370000</v>
      </c>
      <c r="AL18" s="44">
        <v>111647</v>
      </c>
      <c r="AM18" s="44" t="s">
        <v>78</v>
      </c>
      <c r="AN18" s="44"/>
      <c r="AO18" s="44">
        <v>0</v>
      </c>
      <c r="AP18" s="44">
        <v>0</v>
      </c>
      <c r="AQ18" s="44"/>
      <c r="AR18" s="44"/>
      <c r="AS18" s="44"/>
      <c r="AT18" s="44"/>
      <c r="AU18" s="44"/>
      <c r="AV18" s="44"/>
      <c r="AW18" s="44">
        <v>0</v>
      </c>
      <c r="AX18" s="44"/>
      <c r="AY18" s="44">
        <v>13496025000</v>
      </c>
      <c r="AZ18" s="44"/>
      <c r="BA18" s="44"/>
      <c r="BB18" s="44"/>
      <c r="BC18" s="44"/>
      <c r="BD18" s="44"/>
      <c r="BE18" s="44"/>
      <c r="BF18" s="44">
        <v>0</v>
      </c>
      <c r="BG18" s="44">
        <v>0</v>
      </c>
      <c r="BH18" s="44"/>
      <c r="BI18" s="42"/>
      <c r="BJ18" s="43">
        <v>0</v>
      </c>
      <c r="BK18" s="44">
        <v>0</v>
      </c>
      <c r="BL18" s="45">
        <f t="shared" si="13"/>
        <v>0</v>
      </c>
      <c r="BM18" s="9"/>
      <c r="BN18" s="16"/>
    </row>
    <row r="19" spans="1:66" s="2" customFormat="1" ht="54" x14ac:dyDescent="0.25">
      <c r="A19" s="67">
        <v>17</v>
      </c>
      <c r="B19" s="94"/>
      <c r="C19" s="95" t="s">
        <v>127</v>
      </c>
      <c r="D19" s="104" t="s">
        <v>126</v>
      </c>
      <c r="E19" s="96" t="s">
        <v>125</v>
      </c>
      <c r="F19" s="97" t="s">
        <v>128</v>
      </c>
      <c r="G19" s="73" t="s">
        <v>592</v>
      </c>
      <c r="H19" s="98" t="s">
        <v>129</v>
      </c>
      <c r="I19" s="85" t="s">
        <v>124</v>
      </c>
      <c r="J19" s="76" t="s">
        <v>20</v>
      </c>
      <c r="K19" s="76" t="s">
        <v>119</v>
      </c>
      <c r="L19" s="92">
        <v>350015.5</v>
      </c>
      <c r="M19" s="92">
        <v>0</v>
      </c>
      <c r="N19" s="77">
        <f t="shared" si="9"/>
        <v>350015.5</v>
      </c>
      <c r="O19" s="73">
        <f>N19*9%</f>
        <v>31501.395</v>
      </c>
      <c r="P19" s="78">
        <f>-N19*0%</f>
        <v>0</v>
      </c>
      <c r="Q19" s="93">
        <f t="shared" si="11"/>
        <v>381516.89500000002</v>
      </c>
      <c r="R19" s="103">
        <v>0.25</v>
      </c>
      <c r="S19" s="90">
        <f>N19*R19</f>
        <v>87503.875</v>
      </c>
      <c r="T19" s="100"/>
      <c r="U19" s="101">
        <v>0</v>
      </c>
      <c r="V19" s="80">
        <f t="shared" si="7"/>
        <v>87503.875</v>
      </c>
      <c r="W19" s="73">
        <f t="shared" si="8"/>
        <v>294013.02</v>
      </c>
      <c r="X19" s="82" t="s">
        <v>593</v>
      </c>
      <c r="Y19" s="83"/>
      <c r="Z19" s="42"/>
      <c r="AA19" s="43"/>
      <c r="AB19" s="44"/>
      <c r="AC19" s="44"/>
      <c r="AD19" s="44"/>
      <c r="AE19" s="44"/>
      <c r="AF19" s="44"/>
      <c r="AG19" s="44"/>
      <c r="AH19" s="44"/>
      <c r="AI19" s="44"/>
      <c r="AJ19" s="44"/>
      <c r="AK19" s="44">
        <v>0</v>
      </c>
      <c r="AL19" s="44"/>
      <c r="AM19" s="44"/>
      <c r="AN19" s="44"/>
      <c r="AO19" s="44"/>
      <c r="AP19" s="44">
        <v>0</v>
      </c>
      <c r="AQ19" s="44"/>
      <c r="AR19" s="44"/>
      <c r="AS19" s="44"/>
      <c r="AT19" s="44"/>
      <c r="AU19" s="44"/>
      <c r="AV19" s="44"/>
      <c r="AW19" s="44">
        <v>125000000000</v>
      </c>
      <c r="AX19" s="44"/>
      <c r="AY19" s="44"/>
      <c r="AZ19" s="44"/>
      <c r="BA19" s="44"/>
      <c r="BB19" s="44"/>
      <c r="BC19" s="44">
        <v>0</v>
      </c>
      <c r="BD19" s="44"/>
      <c r="BE19" s="44"/>
      <c r="BF19" s="44">
        <v>0</v>
      </c>
      <c r="BG19" s="44">
        <v>0</v>
      </c>
      <c r="BH19" s="44"/>
      <c r="BI19" s="42"/>
      <c r="BJ19" s="43">
        <v>9666754794</v>
      </c>
      <c r="BK19" s="44">
        <v>4833377397</v>
      </c>
      <c r="BL19" s="45">
        <f t="shared" si="13"/>
        <v>14500132191</v>
      </c>
      <c r="BM19" s="9"/>
      <c r="BN19" s="16"/>
    </row>
    <row r="20" spans="1:66" s="2" customFormat="1" ht="54" x14ac:dyDescent="0.25">
      <c r="A20" s="67"/>
      <c r="B20" s="94"/>
      <c r="C20" s="95" t="s">
        <v>636</v>
      </c>
      <c r="D20" s="104" t="s">
        <v>637</v>
      </c>
      <c r="E20" s="71" t="s">
        <v>638</v>
      </c>
      <c r="F20" s="97" t="s">
        <v>639</v>
      </c>
      <c r="G20" s="73" t="s">
        <v>544</v>
      </c>
      <c r="H20" s="98" t="s">
        <v>640</v>
      </c>
      <c r="I20" s="85" t="s">
        <v>124</v>
      </c>
      <c r="J20" s="76" t="s">
        <v>20</v>
      </c>
      <c r="K20" s="76" t="s">
        <v>119</v>
      </c>
      <c r="L20" s="92">
        <v>53312</v>
      </c>
      <c r="M20" s="92">
        <v>0</v>
      </c>
      <c r="N20" s="77">
        <f t="shared" si="9"/>
        <v>53312</v>
      </c>
      <c r="O20" s="73">
        <f>N20*9%</f>
        <v>4798.08</v>
      </c>
      <c r="P20" s="78">
        <f>-N20*10%</f>
        <v>-5331.2000000000007</v>
      </c>
      <c r="Q20" s="93">
        <f t="shared" si="11"/>
        <v>52778.880000000005</v>
      </c>
      <c r="R20" s="103">
        <v>0.25</v>
      </c>
      <c r="S20" s="90">
        <f>N20*R20</f>
        <v>13328</v>
      </c>
      <c r="T20" s="100">
        <v>3816486128</v>
      </c>
      <c r="U20" s="101">
        <v>0</v>
      </c>
      <c r="V20" s="80">
        <f t="shared" si="7"/>
        <v>13328</v>
      </c>
      <c r="W20" s="73">
        <f t="shared" si="8"/>
        <v>39450.880000000005</v>
      </c>
      <c r="X20" s="82" t="s">
        <v>641</v>
      </c>
      <c r="Y20" s="83"/>
      <c r="Z20" s="42"/>
      <c r="AA20" s="43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2"/>
      <c r="BJ20" s="43"/>
      <c r="BK20" s="44"/>
      <c r="BL20" s="45"/>
      <c r="BM20" s="9"/>
      <c r="BN20" s="16"/>
    </row>
    <row r="21" spans="1:66" s="2" customFormat="1" ht="54" x14ac:dyDescent="0.25">
      <c r="A21" s="67">
        <v>18</v>
      </c>
      <c r="B21" s="94"/>
      <c r="C21" s="95" t="s">
        <v>133</v>
      </c>
      <c r="D21" s="149" t="s">
        <v>132</v>
      </c>
      <c r="E21" s="155" t="s">
        <v>131</v>
      </c>
      <c r="F21" s="97" t="s">
        <v>134</v>
      </c>
      <c r="G21" s="73"/>
      <c r="H21" s="98" t="s">
        <v>135</v>
      </c>
      <c r="I21" s="85" t="s">
        <v>111</v>
      </c>
      <c r="J21" s="76" t="s">
        <v>20</v>
      </c>
      <c r="K21" s="76" t="s">
        <v>117</v>
      </c>
      <c r="L21" s="92">
        <v>210000</v>
      </c>
      <c r="M21" s="92">
        <v>0</v>
      </c>
      <c r="N21" s="77">
        <f t="shared" si="9"/>
        <v>210000</v>
      </c>
      <c r="O21" s="73">
        <v>0</v>
      </c>
      <c r="P21" s="78">
        <f>-N21*0%</f>
        <v>0</v>
      </c>
      <c r="Q21" s="73">
        <f t="shared" si="11"/>
        <v>210000</v>
      </c>
      <c r="R21" s="103">
        <v>0.25</v>
      </c>
      <c r="S21" s="90">
        <f>N21*R21</f>
        <v>52500</v>
      </c>
      <c r="T21" s="100"/>
      <c r="U21" s="101">
        <v>0</v>
      </c>
      <c r="V21" s="80">
        <f t="shared" si="7"/>
        <v>52500</v>
      </c>
      <c r="W21" s="73">
        <f t="shared" si="8"/>
        <v>157500</v>
      </c>
      <c r="X21" s="82" t="s">
        <v>600</v>
      </c>
      <c r="Y21" s="88" t="s">
        <v>601</v>
      </c>
      <c r="Z21" s="42"/>
      <c r="AA21" s="43"/>
      <c r="AB21" s="44"/>
      <c r="AC21" s="44"/>
      <c r="AD21" s="44"/>
      <c r="AE21" s="44"/>
      <c r="AF21" s="44"/>
      <c r="AG21" s="44"/>
      <c r="AH21" s="44"/>
      <c r="AI21" s="44"/>
      <c r="AJ21" s="44"/>
      <c r="AK21" s="44">
        <v>0</v>
      </c>
      <c r="AL21" s="44"/>
      <c r="AM21" s="44"/>
      <c r="AN21" s="44"/>
      <c r="AO21" s="44"/>
      <c r="AP21" s="44">
        <v>0</v>
      </c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>
        <v>4850000000</v>
      </c>
      <c r="BD21" s="44">
        <v>108150</v>
      </c>
      <c r="BE21" s="44" t="s">
        <v>80</v>
      </c>
      <c r="BF21" s="44">
        <v>0</v>
      </c>
      <c r="BG21" s="44">
        <v>0</v>
      </c>
      <c r="BH21" s="44"/>
      <c r="BI21" s="42"/>
      <c r="BJ21" s="43">
        <v>4830000000</v>
      </c>
      <c r="BK21" s="44">
        <v>0</v>
      </c>
      <c r="BL21" s="45">
        <f t="shared" si="13"/>
        <v>4830000000</v>
      </c>
      <c r="BM21" s="9"/>
      <c r="BN21" s="16" t="s">
        <v>13</v>
      </c>
    </row>
    <row r="22" spans="1:66" s="2" customFormat="1" ht="81" x14ac:dyDescent="0.25">
      <c r="A22" s="67">
        <v>19</v>
      </c>
      <c r="B22" s="94"/>
      <c r="C22" s="95" t="s">
        <v>136</v>
      </c>
      <c r="D22" s="104" t="s">
        <v>138</v>
      </c>
      <c r="E22" s="96" t="s">
        <v>137</v>
      </c>
      <c r="F22" s="97" t="s">
        <v>139</v>
      </c>
      <c r="G22" s="73" t="s">
        <v>592</v>
      </c>
      <c r="H22" s="98" t="s">
        <v>140</v>
      </c>
      <c r="I22" s="85" t="s">
        <v>141</v>
      </c>
      <c r="J22" s="76" t="s">
        <v>10</v>
      </c>
      <c r="K22" s="76" t="s">
        <v>119</v>
      </c>
      <c r="L22" s="105">
        <v>13760000000</v>
      </c>
      <c r="M22" s="105">
        <v>0</v>
      </c>
      <c r="N22" s="73">
        <f t="shared" si="9"/>
        <v>13760000000</v>
      </c>
      <c r="O22" s="73">
        <v>0</v>
      </c>
      <c r="P22" s="73">
        <v>0</v>
      </c>
      <c r="Q22" s="73">
        <f t="shared" si="11"/>
        <v>13760000000</v>
      </c>
      <c r="R22" s="103">
        <v>0.7</v>
      </c>
      <c r="S22" s="106">
        <f>(N22*R22)-462000000</f>
        <v>9170000000</v>
      </c>
      <c r="T22" s="100"/>
      <c r="U22" s="101">
        <v>0</v>
      </c>
      <c r="V22" s="80">
        <f t="shared" si="7"/>
        <v>9170000000</v>
      </c>
      <c r="W22" s="73">
        <f t="shared" si="8"/>
        <v>4590000000</v>
      </c>
      <c r="X22" s="82" t="s">
        <v>605</v>
      </c>
      <c r="Y22" s="83"/>
      <c r="Z22" s="42"/>
      <c r="AA22" s="48">
        <f>1800000000*5+30000000000*2+10000000000*2+1000000000*4</f>
        <v>93000000000</v>
      </c>
      <c r="AB22" s="39"/>
      <c r="AC22" s="39"/>
      <c r="AD22" s="39">
        <v>0</v>
      </c>
      <c r="AE22" s="39"/>
      <c r="AF22" s="39"/>
      <c r="AG22" s="39"/>
      <c r="AH22" s="39"/>
      <c r="AI22" s="39"/>
      <c r="AJ22" s="39"/>
      <c r="AK22" s="39">
        <v>0</v>
      </c>
      <c r="AL22" s="39"/>
      <c r="AM22" s="39"/>
      <c r="AN22" s="39"/>
      <c r="AO22" s="39"/>
      <c r="AP22" s="39">
        <v>0</v>
      </c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>
        <v>0</v>
      </c>
      <c r="BD22" s="39"/>
      <c r="BE22" s="39"/>
      <c r="BF22" s="44">
        <v>0</v>
      </c>
      <c r="BG22" s="44">
        <v>0</v>
      </c>
      <c r="BH22" s="44"/>
      <c r="BI22" s="42"/>
      <c r="BJ22" s="43">
        <v>0</v>
      </c>
      <c r="BK22" s="44">
        <v>0</v>
      </c>
      <c r="BL22" s="45">
        <f t="shared" si="13"/>
        <v>0</v>
      </c>
      <c r="BM22" s="9"/>
      <c r="BN22" s="16" t="s">
        <v>14</v>
      </c>
    </row>
    <row r="23" spans="1:66" s="2" customFormat="1" ht="54" x14ac:dyDescent="0.25">
      <c r="A23" s="67">
        <v>20</v>
      </c>
      <c r="B23" s="94"/>
      <c r="C23" s="95" t="s">
        <v>142</v>
      </c>
      <c r="D23" s="149" t="s">
        <v>143</v>
      </c>
      <c r="E23" s="156" t="s">
        <v>145</v>
      </c>
      <c r="F23" s="97" t="s">
        <v>144</v>
      </c>
      <c r="G23" s="87"/>
      <c r="H23" s="98" t="s">
        <v>146</v>
      </c>
      <c r="I23" s="98" t="s">
        <v>147</v>
      </c>
      <c r="J23" s="76" t="s">
        <v>20</v>
      </c>
      <c r="K23" s="76" t="s">
        <v>117</v>
      </c>
      <c r="L23" s="92">
        <v>48000</v>
      </c>
      <c r="M23" s="92">
        <v>0</v>
      </c>
      <c r="N23" s="77">
        <f t="shared" si="9"/>
        <v>48000</v>
      </c>
      <c r="O23" s="73">
        <v>0</v>
      </c>
      <c r="P23" s="73">
        <v>0</v>
      </c>
      <c r="Q23" s="73">
        <f t="shared" si="11"/>
        <v>48000</v>
      </c>
      <c r="R23" s="103">
        <v>0.25</v>
      </c>
      <c r="S23" s="90">
        <f t="shared" ref="S23" si="14">N23*R23</f>
        <v>12000</v>
      </c>
      <c r="T23" s="100"/>
      <c r="U23" s="101">
        <v>0</v>
      </c>
      <c r="V23" s="80">
        <f t="shared" si="7"/>
        <v>12000</v>
      </c>
      <c r="W23" s="73">
        <f t="shared" si="8"/>
        <v>36000</v>
      </c>
      <c r="X23" s="87"/>
      <c r="Y23" s="83"/>
      <c r="Z23" s="42"/>
      <c r="AA23" s="48"/>
      <c r="AB23" s="39"/>
      <c r="AC23" s="39"/>
      <c r="AD23" s="39"/>
      <c r="AE23" s="39"/>
      <c r="AF23" s="39"/>
      <c r="AG23" s="39"/>
      <c r="AH23" s="39"/>
      <c r="AI23" s="39"/>
      <c r="AJ23" s="39"/>
      <c r="AK23" s="39">
        <v>3800000000</v>
      </c>
      <c r="AL23" s="39">
        <v>106825</v>
      </c>
      <c r="AM23" s="39" t="s">
        <v>81</v>
      </c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44">
        <v>0</v>
      </c>
      <c r="BG23" s="44">
        <v>0</v>
      </c>
      <c r="BH23" s="44"/>
      <c r="BI23" s="42"/>
      <c r="BJ23" s="43">
        <v>1507941251</v>
      </c>
      <c r="BK23" s="44">
        <v>0</v>
      </c>
      <c r="BL23" s="45">
        <f t="shared" si="13"/>
        <v>1507941251</v>
      </c>
      <c r="BM23" s="9"/>
      <c r="BN23" s="16"/>
    </row>
    <row r="24" spans="1:66" s="2" customFormat="1" ht="54" x14ac:dyDescent="0.25">
      <c r="A24" s="67">
        <v>21</v>
      </c>
      <c r="B24" s="94"/>
      <c r="C24" s="95" t="s">
        <v>149</v>
      </c>
      <c r="D24" s="104" t="s">
        <v>151</v>
      </c>
      <c r="E24" s="96" t="s">
        <v>148</v>
      </c>
      <c r="F24" s="97" t="s">
        <v>134</v>
      </c>
      <c r="G24" s="73" t="s">
        <v>606</v>
      </c>
      <c r="H24" s="108" t="s">
        <v>150</v>
      </c>
      <c r="I24" s="85" t="s">
        <v>124</v>
      </c>
      <c r="J24" s="76" t="s">
        <v>20</v>
      </c>
      <c r="K24" s="76" t="s">
        <v>119</v>
      </c>
      <c r="L24" s="92">
        <v>414766</v>
      </c>
      <c r="M24" s="92">
        <v>114637</v>
      </c>
      <c r="N24" s="77">
        <f t="shared" si="9"/>
        <v>529403</v>
      </c>
      <c r="O24" s="73">
        <v>0</v>
      </c>
      <c r="P24" s="73">
        <v>0</v>
      </c>
      <c r="Q24" s="73">
        <f t="shared" si="11"/>
        <v>529403</v>
      </c>
      <c r="R24" s="103">
        <v>0.3</v>
      </c>
      <c r="S24" s="90">
        <f>L24*R24</f>
        <v>124429.79999999999</v>
      </c>
      <c r="T24" s="100"/>
      <c r="U24" s="101">
        <v>0</v>
      </c>
      <c r="V24" s="80">
        <f t="shared" si="7"/>
        <v>124429.79999999999</v>
      </c>
      <c r="W24" s="73">
        <f t="shared" si="8"/>
        <v>404973.2</v>
      </c>
      <c r="X24" s="82" t="s">
        <v>593</v>
      </c>
      <c r="Y24" s="83"/>
      <c r="Z24" s="42"/>
      <c r="AA24" s="48">
        <f>10000000000*4</f>
        <v>40000000000</v>
      </c>
      <c r="AB24" s="39"/>
      <c r="AC24" s="39"/>
      <c r="AD24" s="39">
        <v>34993710679</v>
      </c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>
        <v>0</v>
      </c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>
        <v>3570786804</v>
      </c>
      <c r="BD24" s="39">
        <v>110523</v>
      </c>
      <c r="BE24" s="39" t="s">
        <v>32</v>
      </c>
      <c r="BF24" s="44">
        <v>0</v>
      </c>
      <c r="BG24" s="44">
        <v>0</v>
      </c>
      <c r="BH24" s="44"/>
      <c r="BI24" s="42"/>
      <c r="BJ24" s="43">
        <v>0</v>
      </c>
      <c r="BK24" s="44">
        <v>0</v>
      </c>
      <c r="BL24" s="45">
        <f t="shared" si="13"/>
        <v>0</v>
      </c>
      <c r="BM24" s="9"/>
      <c r="BN24" s="16"/>
    </row>
    <row r="25" spans="1:66" s="2" customFormat="1" ht="54" x14ac:dyDescent="0.25">
      <c r="A25" s="67">
        <v>22</v>
      </c>
      <c r="B25" s="94"/>
      <c r="C25" s="95" t="s">
        <v>152</v>
      </c>
      <c r="D25" s="151" t="s">
        <v>153</v>
      </c>
      <c r="E25" s="96" t="s">
        <v>235</v>
      </c>
      <c r="F25" s="97" t="s">
        <v>154</v>
      </c>
      <c r="G25" s="73"/>
      <c r="H25" s="108" t="s">
        <v>155</v>
      </c>
      <c r="I25" s="85" t="s">
        <v>156</v>
      </c>
      <c r="J25" s="76" t="s">
        <v>20</v>
      </c>
      <c r="K25" s="76" t="s">
        <v>117</v>
      </c>
      <c r="L25" s="92">
        <v>750000</v>
      </c>
      <c r="M25" s="92">
        <v>0</v>
      </c>
      <c r="N25" s="77">
        <f t="shared" si="9"/>
        <v>750000</v>
      </c>
      <c r="O25" s="73">
        <v>0</v>
      </c>
      <c r="P25" s="78">
        <f>-N25*10%</f>
        <v>-75000</v>
      </c>
      <c r="Q25" s="73">
        <f t="shared" si="11"/>
        <v>675000</v>
      </c>
      <c r="R25" s="103">
        <v>0.25</v>
      </c>
      <c r="S25" s="90">
        <f>N25*R25</f>
        <v>187500</v>
      </c>
      <c r="T25" s="100"/>
      <c r="U25" s="101">
        <v>0</v>
      </c>
      <c r="V25" s="80">
        <f t="shared" si="7"/>
        <v>187500</v>
      </c>
      <c r="W25" s="73">
        <f t="shared" si="8"/>
        <v>487500</v>
      </c>
      <c r="X25" s="82" t="s">
        <v>609</v>
      </c>
      <c r="Y25" s="83" t="s">
        <v>610</v>
      </c>
      <c r="Z25" s="42"/>
      <c r="AA25" s="48"/>
      <c r="AB25" s="39"/>
      <c r="AC25" s="39"/>
      <c r="AD25" s="39"/>
      <c r="AE25" s="39"/>
      <c r="AF25" s="39"/>
      <c r="AG25" s="39"/>
      <c r="AH25" s="39"/>
      <c r="AI25" s="39"/>
      <c r="AJ25" s="39"/>
      <c r="AK25" s="39">
        <v>7090000000</v>
      </c>
      <c r="AL25" s="39">
        <v>109604</v>
      </c>
      <c r="AM25" s="39" t="s">
        <v>82</v>
      </c>
      <c r="AN25" s="39"/>
      <c r="AO25" s="39"/>
      <c r="AP25" s="39">
        <v>3545000000</v>
      </c>
      <c r="AQ25" s="39">
        <v>109604</v>
      </c>
      <c r="AR25" s="39" t="s">
        <v>83</v>
      </c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44">
        <v>0</v>
      </c>
      <c r="BG25" s="44">
        <v>0</v>
      </c>
      <c r="BH25" s="44"/>
      <c r="BI25" s="42"/>
      <c r="BJ25" s="43">
        <v>3646621200</v>
      </c>
      <c r="BK25" s="44">
        <v>1823310600</v>
      </c>
      <c r="BL25" s="45">
        <f t="shared" si="13"/>
        <v>5469931800</v>
      </c>
      <c r="BM25" s="9"/>
      <c r="BN25" s="16"/>
    </row>
    <row r="26" spans="1:66" s="2" customFormat="1" ht="54" x14ac:dyDescent="0.25">
      <c r="A26" s="67">
        <v>23</v>
      </c>
      <c r="B26" s="94"/>
      <c r="C26" s="95" t="s">
        <v>157</v>
      </c>
      <c r="D26" s="151" t="s">
        <v>158</v>
      </c>
      <c r="E26" s="157" t="s">
        <v>159</v>
      </c>
      <c r="F26" s="97" t="s">
        <v>160</v>
      </c>
      <c r="G26" s="73"/>
      <c r="H26" s="98" t="s">
        <v>161</v>
      </c>
      <c r="I26" s="85" t="s">
        <v>162</v>
      </c>
      <c r="J26" s="76" t="s">
        <v>20</v>
      </c>
      <c r="K26" s="76" t="s">
        <v>117</v>
      </c>
      <c r="L26" s="92">
        <v>5937000</v>
      </c>
      <c r="M26" s="92">
        <v>0</v>
      </c>
      <c r="N26" s="77">
        <f t="shared" si="9"/>
        <v>5937000</v>
      </c>
      <c r="O26" s="73">
        <v>0</v>
      </c>
      <c r="P26" s="73">
        <v>0</v>
      </c>
      <c r="Q26" s="73">
        <f t="shared" si="11"/>
        <v>5937000</v>
      </c>
      <c r="R26" s="103">
        <v>0.25</v>
      </c>
      <c r="S26" s="90">
        <f>N26*R26</f>
        <v>1484250</v>
      </c>
      <c r="T26" s="100"/>
      <c r="U26" s="101">
        <v>0</v>
      </c>
      <c r="V26" s="80">
        <f t="shared" si="7"/>
        <v>1484250</v>
      </c>
      <c r="W26" s="73">
        <f t="shared" si="8"/>
        <v>4452750</v>
      </c>
      <c r="X26" s="87"/>
      <c r="Y26" s="83"/>
      <c r="Z26" s="42"/>
      <c r="AA26" s="48"/>
      <c r="AB26" s="39"/>
      <c r="AC26" s="39"/>
      <c r="AD26" s="39"/>
      <c r="AE26" s="39"/>
      <c r="AF26" s="39"/>
      <c r="AG26" s="39"/>
      <c r="AH26" s="39"/>
      <c r="AI26" s="39"/>
      <c r="AJ26" s="39"/>
      <c r="AK26" s="39">
        <v>0</v>
      </c>
      <c r="AL26" s="39"/>
      <c r="AM26" s="39"/>
      <c r="AN26" s="39"/>
      <c r="AO26" s="39"/>
      <c r="AP26" s="39">
        <v>0</v>
      </c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>
        <v>2726000000</v>
      </c>
      <c r="BD26" s="39" t="s">
        <v>84</v>
      </c>
      <c r="BE26" s="39"/>
      <c r="BF26" s="44">
        <v>0</v>
      </c>
      <c r="BG26" s="44">
        <v>0</v>
      </c>
      <c r="BH26" s="44"/>
      <c r="BI26" s="42"/>
      <c r="BJ26" s="43">
        <v>2745740000</v>
      </c>
      <c r="BK26" s="44">
        <v>0</v>
      </c>
      <c r="BL26" s="45">
        <f t="shared" si="13"/>
        <v>2745740000</v>
      </c>
      <c r="BM26" s="9"/>
      <c r="BN26" s="16" t="s">
        <v>15</v>
      </c>
    </row>
    <row r="27" spans="1:66" s="2" customFormat="1" ht="54" x14ac:dyDescent="0.25">
      <c r="A27" s="67">
        <v>24</v>
      </c>
      <c r="B27" s="94"/>
      <c r="C27" s="95" t="s">
        <v>165</v>
      </c>
      <c r="D27" s="104" t="s">
        <v>166</v>
      </c>
      <c r="E27" s="96" t="s">
        <v>164</v>
      </c>
      <c r="F27" s="97" t="s">
        <v>163</v>
      </c>
      <c r="G27" s="73" t="s">
        <v>585</v>
      </c>
      <c r="H27" s="108" t="s">
        <v>167</v>
      </c>
      <c r="I27" s="85" t="s">
        <v>124</v>
      </c>
      <c r="J27" s="76" t="s">
        <v>20</v>
      </c>
      <c r="K27" s="76" t="s">
        <v>119</v>
      </c>
      <c r="L27" s="92">
        <v>440000</v>
      </c>
      <c r="M27" s="92">
        <v>0</v>
      </c>
      <c r="N27" s="77">
        <f t="shared" si="9"/>
        <v>440000</v>
      </c>
      <c r="O27" s="73">
        <v>0</v>
      </c>
      <c r="P27" s="73">
        <v>0</v>
      </c>
      <c r="Q27" s="73">
        <f t="shared" si="11"/>
        <v>440000</v>
      </c>
      <c r="R27" s="103">
        <v>0.5</v>
      </c>
      <c r="S27" s="89">
        <f>L27*R27</f>
        <v>220000</v>
      </c>
      <c r="T27" s="109"/>
      <c r="U27" s="101">
        <v>0</v>
      </c>
      <c r="V27" s="80">
        <f t="shared" si="7"/>
        <v>220000</v>
      </c>
      <c r="W27" s="73">
        <f t="shared" si="8"/>
        <v>220000</v>
      </c>
      <c r="X27" s="82" t="s">
        <v>584</v>
      </c>
      <c r="Y27" s="83"/>
      <c r="Z27" s="42"/>
      <c r="AA27" s="48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>
        <v>4416688078</v>
      </c>
      <c r="AX27" s="39"/>
      <c r="AY27" s="39"/>
      <c r="AZ27" s="39"/>
      <c r="BA27" s="39"/>
      <c r="BB27" s="39"/>
      <c r="BC27" s="39">
        <v>0</v>
      </c>
      <c r="BD27" s="39"/>
      <c r="BE27" s="39"/>
      <c r="BF27" s="44">
        <v>0</v>
      </c>
      <c r="BG27" s="44">
        <v>0</v>
      </c>
      <c r="BH27" s="44"/>
      <c r="BI27" s="42"/>
      <c r="BJ27" s="43">
        <v>0</v>
      </c>
      <c r="BK27" s="44">
        <v>0</v>
      </c>
      <c r="BL27" s="45">
        <f t="shared" si="13"/>
        <v>0</v>
      </c>
      <c r="BM27" s="9"/>
      <c r="BN27" s="16"/>
    </row>
    <row r="28" spans="1:66" s="2" customFormat="1" ht="54" x14ac:dyDescent="0.25">
      <c r="A28" s="67">
        <v>25</v>
      </c>
      <c r="B28" s="94"/>
      <c r="C28" s="95" t="s">
        <v>168</v>
      </c>
      <c r="D28" s="149" t="s">
        <v>170</v>
      </c>
      <c r="E28" s="96" t="s">
        <v>169</v>
      </c>
      <c r="F28" s="97" t="s">
        <v>171</v>
      </c>
      <c r="G28" s="73" t="s">
        <v>611</v>
      </c>
      <c r="H28" s="108" t="s">
        <v>172</v>
      </c>
      <c r="I28" s="85" t="s">
        <v>156</v>
      </c>
      <c r="J28" s="76" t="s">
        <v>20</v>
      </c>
      <c r="K28" s="76" t="s">
        <v>119</v>
      </c>
      <c r="L28" s="92">
        <v>289250</v>
      </c>
      <c r="M28" s="92">
        <v>0</v>
      </c>
      <c r="N28" s="77">
        <f t="shared" si="9"/>
        <v>289250</v>
      </c>
      <c r="O28" s="73">
        <f t="shared" si="10"/>
        <v>26032.5</v>
      </c>
      <c r="P28" s="78">
        <f>-N28*10%</f>
        <v>-28925</v>
      </c>
      <c r="Q28" s="73">
        <f t="shared" si="11"/>
        <v>286357.5</v>
      </c>
      <c r="R28" s="103">
        <v>0.25</v>
      </c>
      <c r="S28" s="89">
        <f>N28*R28</f>
        <v>72312.5</v>
      </c>
      <c r="T28" s="109"/>
      <c r="U28" s="101">
        <v>0</v>
      </c>
      <c r="V28" s="80">
        <v>0</v>
      </c>
      <c r="W28" s="73">
        <f t="shared" si="8"/>
        <v>286357.5</v>
      </c>
      <c r="X28" s="82" t="s">
        <v>609</v>
      </c>
      <c r="Y28" s="83"/>
      <c r="Z28" s="42"/>
      <c r="AA28" s="48">
        <v>0</v>
      </c>
      <c r="AB28" s="39"/>
      <c r="AC28" s="39"/>
      <c r="AD28" s="39">
        <v>14163959400</v>
      </c>
      <c r="AE28" s="39"/>
      <c r="AF28" s="39"/>
      <c r="AG28" s="39"/>
      <c r="AH28" s="39"/>
      <c r="AI28" s="39"/>
      <c r="AJ28" s="39"/>
      <c r="AK28" s="39">
        <v>0</v>
      </c>
      <c r="AL28" s="39"/>
      <c r="AM28" s="39"/>
      <c r="AN28" s="39"/>
      <c r="AO28" s="39">
        <v>0</v>
      </c>
      <c r="AP28" s="39">
        <v>0</v>
      </c>
      <c r="AQ28" s="39"/>
      <c r="AR28" s="39"/>
      <c r="AS28" s="39"/>
      <c r="AT28" s="39"/>
      <c r="AU28" s="39"/>
      <c r="AV28" s="39"/>
      <c r="AW28" s="39">
        <f>3540989850+2360659900</f>
        <v>5901649750</v>
      </c>
      <c r="AX28" s="39"/>
      <c r="AY28" s="39"/>
      <c r="AZ28" s="39"/>
      <c r="BA28" s="39"/>
      <c r="BB28" s="39"/>
      <c r="BC28" s="39"/>
      <c r="BD28" s="39"/>
      <c r="BE28" s="39"/>
      <c r="BF28" s="44">
        <v>0</v>
      </c>
      <c r="BG28" s="44">
        <v>0</v>
      </c>
      <c r="BH28" s="44"/>
      <c r="BI28" s="42"/>
      <c r="BJ28" s="43">
        <v>0</v>
      </c>
      <c r="BK28" s="44">
        <v>0</v>
      </c>
      <c r="BL28" s="45">
        <f t="shared" si="13"/>
        <v>0</v>
      </c>
      <c r="BM28" s="9"/>
      <c r="BN28" s="16"/>
    </row>
    <row r="29" spans="1:66" s="14" customFormat="1" ht="54" x14ac:dyDescent="0.25">
      <c r="A29" s="67">
        <v>26</v>
      </c>
      <c r="B29" s="94"/>
      <c r="C29" s="95" t="s">
        <v>176</v>
      </c>
      <c r="D29" s="149" t="s">
        <v>174</v>
      </c>
      <c r="E29" s="158" t="s">
        <v>173</v>
      </c>
      <c r="F29" s="97" t="s">
        <v>175</v>
      </c>
      <c r="G29" s="73"/>
      <c r="H29" s="84" t="s">
        <v>177</v>
      </c>
      <c r="I29" s="85" t="s">
        <v>111</v>
      </c>
      <c r="J29" s="76" t="s">
        <v>20</v>
      </c>
      <c r="K29" s="76" t="s">
        <v>117</v>
      </c>
      <c r="L29" s="92">
        <v>3603500</v>
      </c>
      <c r="M29" s="92">
        <v>0</v>
      </c>
      <c r="N29" s="77">
        <f t="shared" si="9"/>
        <v>3603500</v>
      </c>
      <c r="O29" s="73">
        <v>0</v>
      </c>
      <c r="P29" s="78">
        <f>-N29*10%</f>
        <v>-360350</v>
      </c>
      <c r="Q29" s="73">
        <f t="shared" si="11"/>
        <v>3243150</v>
      </c>
      <c r="R29" s="103">
        <v>0.25</v>
      </c>
      <c r="S29" s="89">
        <f>N29*R29</f>
        <v>900875</v>
      </c>
      <c r="T29" s="109"/>
      <c r="U29" s="101">
        <v>0</v>
      </c>
      <c r="V29" s="80">
        <f t="shared" ref="V29:V66" si="15">U29+S29</f>
        <v>900875</v>
      </c>
      <c r="W29" s="73">
        <f t="shared" si="8"/>
        <v>2342275</v>
      </c>
      <c r="X29" s="87"/>
      <c r="Y29" s="83"/>
      <c r="Z29" s="42"/>
      <c r="AA29" s="48"/>
      <c r="AB29" s="39"/>
      <c r="AC29" s="39"/>
      <c r="AD29" s="39"/>
      <c r="AE29" s="39"/>
      <c r="AF29" s="39"/>
      <c r="AG29" s="39"/>
      <c r="AH29" s="39"/>
      <c r="AI29" s="39"/>
      <c r="AJ29" s="39"/>
      <c r="AK29" s="39">
        <v>0</v>
      </c>
      <c r="AL29" s="39"/>
      <c r="AM29" s="39"/>
      <c r="AN29" s="39"/>
      <c r="AO29" s="39"/>
      <c r="AP29" s="39">
        <v>0</v>
      </c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>
        <v>1784447128</v>
      </c>
      <c r="BD29" s="39">
        <v>110967</v>
      </c>
      <c r="BE29" s="39" t="s">
        <v>85</v>
      </c>
      <c r="BF29" s="44">
        <v>0</v>
      </c>
      <c r="BG29" s="44">
        <v>0</v>
      </c>
      <c r="BH29" s="44"/>
      <c r="BI29" s="42"/>
      <c r="BJ29" s="43">
        <v>0</v>
      </c>
      <c r="BK29" s="44">
        <v>0</v>
      </c>
      <c r="BL29" s="45">
        <f t="shared" si="13"/>
        <v>0</v>
      </c>
      <c r="BM29" s="12"/>
      <c r="BN29" s="17"/>
    </row>
    <row r="30" spans="1:66" s="2" customFormat="1" ht="54" x14ac:dyDescent="0.25">
      <c r="A30" s="67">
        <v>27</v>
      </c>
      <c r="B30" s="94"/>
      <c r="C30" s="95" t="s">
        <v>178</v>
      </c>
      <c r="D30" s="149" t="s">
        <v>143</v>
      </c>
      <c r="E30" s="158" t="s">
        <v>145</v>
      </c>
      <c r="F30" s="97" t="s">
        <v>179</v>
      </c>
      <c r="G30" s="73"/>
      <c r="H30" s="98" t="s">
        <v>180</v>
      </c>
      <c r="I30" s="98" t="s">
        <v>147</v>
      </c>
      <c r="J30" s="76" t="s">
        <v>20</v>
      </c>
      <c r="K30" s="76" t="s">
        <v>117</v>
      </c>
      <c r="L30" s="92">
        <v>1732000</v>
      </c>
      <c r="M30" s="92">
        <v>0</v>
      </c>
      <c r="N30" s="77">
        <f t="shared" si="9"/>
        <v>1732000</v>
      </c>
      <c r="O30" s="73">
        <v>0</v>
      </c>
      <c r="P30" s="73">
        <v>0</v>
      </c>
      <c r="Q30" s="73">
        <f t="shared" si="11"/>
        <v>1732000</v>
      </c>
      <c r="R30" s="103">
        <v>0.25</v>
      </c>
      <c r="S30" s="89">
        <f>N30*R30</f>
        <v>433000</v>
      </c>
      <c r="T30" s="109"/>
      <c r="U30" s="101">
        <v>0</v>
      </c>
      <c r="V30" s="80">
        <f t="shared" si="15"/>
        <v>433000</v>
      </c>
      <c r="W30" s="73">
        <f t="shared" si="8"/>
        <v>1299000</v>
      </c>
      <c r="X30" s="87"/>
      <c r="Y30" s="83"/>
      <c r="Z30" s="42"/>
      <c r="AA30" s="48"/>
      <c r="AB30" s="39"/>
      <c r="AC30" s="39"/>
      <c r="AD30" s="39"/>
      <c r="AE30" s="39"/>
      <c r="AF30" s="39"/>
      <c r="AG30" s="39"/>
      <c r="AH30" s="39"/>
      <c r="AI30" s="39"/>
      <c r="AJ30" s="39"/>
      <c r="AK30" s="39">
        <v>0</v>
      </c>
      <c r="AL30" s="39"/>
      <c r="AM30" s="39"/>
      <c r="AN30" s="39"/>
      <c r="AO30" s="39"/>
      <c r="AP30" s="39">
        <v>0</v>
      </c>
      <c r="AQ30" s="39"/>
      <c r="AR30" s="39"/>
      <c r="AS30" s="39">
        <v>820000000</v>
      </c>
      <c r="AT30" s="39"/>
      <c r="AU30" s="39"/>
      <c r="AV30" s="39"/>
      <c r="AW30" s="39">
        <v>0</v>
      </c>
      <c r="AX30" s="39"/>
      <c r="AY30" s="39"/>
      <c r="AZ30" s="39"/>
      <c r="BA30" s="39"/>
      <c r="BB30" s="39"/>
      <c r="BC30" s="39">
        <v>0</v>
      </c>
      <c r="BD30" s="39"/>
      <c r="BE30" s="39"/>
      <c r="BF30" s="39">
        <v>0</v>
      </c>
      <c r="BG30" s="39">
        <v>0</v>
      </c>
      <c r="BH30" s="39"/>
      <c r="BI30" s="42"/>
      <c r="BJ30" s="48">
        <v>0</v>
      </c>
      <c r="BK30" s="39">
        <v>0</v>
      </c>
      <c r="BL30" s="45">
        <f t="shared" si="13"/>
        <v>0</v>
      </c>
      <c r="BM30" s="9"/>
      <c r="BN30" s="16"/>
    </row>
    <row r="31" spans="1:66" s="2" customFormat="1" ht="54" x14ac:dyDescent="0.25">
      <c r="A31" s="67">
        <v>28</v>
      </c>
      <c r="B31" s="94"/>
      <c r="C31" s="95" t="s">
        <v>182</v>
      </c>
      <c r="D31" s="149" t="s">
        <v>183</v>
      </c>
      <c r="E31" s="154" t="s">
        <v>380</v>
      </c>
      <c r="F31" s="97" t="s">
        <v>181</v>
      </c>
      <c r="G31" s="73"/>
      <c r="H31" s="110" t="s">
        <v>186</v>
      </c>
      <c r="I31" s="85" t="s">
        <v>185</v>
      </c>
      <c r="J31" s="76" t="s">
        <v>20</v>
      </c>
      <c r="K31" s="111" t="s">
        <v>184</v>
      </c>
      <c r="L31" s="92">
        <v>223522</v>
      </c>
      <c r="M31" s="92">
        <v>0</v>
      </c>
      <c r="N31" s="77">
        <f t="shared" si="9"/>
        <v>223522</v>
      </c>
      <c r="O31" s="73">
        <v>0</v>
      </c>
      <c r="P31" s="73">
        <v>0</v>
      </c>
      <c r="Q31" s="73">
        <f t="shared" si="11"/>
        <v>223522</v>
      </c>
      <c r="R31" s="103">
        <v>0.5</v>
      </c>
      <c r="S31" s="89">
        <f>N31*R31</f>
        <v>111761</v>
      </c>
      <c r="T31" s="109"/>
      <c r="U31" s="101">
        <v>0</v>
      </c>
      <c r="V31" s="80">
        <f t="shared" si="15"/>
        <v>111761</v>
      </c>
      <c r="W31" s="73">
        <f t="shared" si="8"/>
        <v>111761</v>
      </c>
      <c r="X31" s="82" t="s">
        <v>628</v>
      </c>
      <c r="Y31" s="83"/>
      <c r="Z31" s="42"/>
      <c r="AA31" s="48">
        <v>0</v>
      </c>
      <c r="AB31" s="39"/>
      <c r="AC31" s="39"/>
      <c r="AD31" s="39">
        <v>0</v>
      </c>
      <c r="AE31" s="39"/>
      <c r="AF31" s="39"/>
      <c r="AG31" s="39"/>
      <c r="AH31" s="39"/>
      <c r="AI31" s="39"/>
      <c r="AJ31" s="39"/>
      <c r="AK31" s="44"/>
      <c r="AL31" s="44"/>
      <c r="AM31" s="44"/>
      <c r="AN31" s="39"/>
      <c r="AO31" s="39">
        <v>0</v>
      </c>
      <c r="AP31" s="39">
        <v>0</v>
      </c>
      <c r="AQ31" s="39"/>
      <c r="AR31" s="39"/>
      <c r="AS31" s="39">
        <v>0</v>
      </c>
      <c r="AT31" s="39"/>
      <c r="AU31" s="39"/>
      <c r="AV31" s="39"/>
      <c r="AW31" s="39">
        <v>0</v>
      </c>
      <c r="AX31" s="39"/>
      <c r="AY31" s="39"/>
      <c r="AZ31" s="39"/>
      <c r="BA31" s="39"/>
      <c r="BB31" s="39"/>
      <c r="BC31" s="44">
        <v>800000000</v>
      </c>
      <c r="BD31" s="44">
        <v>107803</v>
      </c>
      <c r="BE31" s="44" t="s">
        <v>79</v>
      </c>
      <c r="BF31" s="39">
        <v>0</v>
      </c>
      <c r="BG31" s="39">
        <v>0</v>
      </c>
      <c r="BH31" s="39"/>
      <c r="BI31" s="42"/>
      <c r="BJ31" s="48">
        <v>0</v>
      </c>
      <c r="BK31" s="39">
        <v>0</v>
      </c>
      <c r="BL31" s="45">
        <f t="shared" si="13"/>
        <v>0</v>
      </c>
      <c r="BM31" s="9"/>
      <c r="BN31" s="16"/>
    </row>
    <row r="32" spans="1:66" s="2" customFormat="1" ht="54" x14ac:dyDescent="0.25">
      <c r="A32" s="67">
        <v>29</v>
      </c>
      <c r="B32" s="94"/>
      <c r="C32" s="95" t="s">
        <v>187</v>
      </c>
      <c r="D32" s="149" t="s">
        <v>191</v>
      </c>
      <c r="E32" s="96" t="s">
        <v>188</v>
      </c>
      <c r="F32" s="112" t="s">
        <v>192</v>
      </c>
      <c r="G32" s="73" t="s">
        <v>194</v>
      </c>
      <c r="H32" s="110" t="s">
        <v>189</v>
      </c>
      <c r="I32" s="85" t="s">
        <v>190</v>
      </c>
      <c r="J32" s="76" t="s">
        <v>20</v>
      </c>
      <c r="K32" s="76" t="s">
        <v>119</v>
      </c>
      <c r="L32" s="92">
        <v>39000</v>
      </c>
      <c r="M32" s="92">
        <v>0</v>
      </c>
      <c r="N32" s="77">
        <f t="shared" si="9"/>
        <v>39000</v>
      </c>
      <c r="O32" s="73">
        <v>0</v>
      </c>
      <c r="P32" s="73">
        <v>0</v>
      </c>
      <c r="Q32" s="73">
        <f t="shared" si="11"/>
        <v>39000</v>
      </c>
      <c r="R32" s="103">
        <v>0.3</v>
      </c>
      <c r="S32" s="89">
        <f t="shared" ref="S32:S53" si="16">N32*R32</f>
        <v>11700</v>
      </c>
      <c r="T32" s="109"/>
      <c r="U32" s="101">
        <v>0</v>
      </c>
      <c r="V32" s="80">
        <f t="shared" si="15"/>
        <v>11700</v>
      </c>
      <c r="W32" s="73">
        <f t="shared" si="8"/>
        <v>27300</v>
      </c>
      <c r="X32" s="82" t="s">
        <v>586</v>
      </c>
      <c r="Y32" s="83"/>
      <c r="Z32" s="42"/>
      <c r="AA32" s="48">
        <v>5400000000</v>
      </c>
      <c r="AB32" s="39"/>
      <c r="AC32" s="39"/>
      <c r="AD32" s="39">
        <v>5392000000</v>
      </c>
      <c r="AE32" s="39"/>
      <c r="AF32" s="39"/>
      <c r="AG32" s="39"/>
      <c r="AH32" s="39"/>
      <c r="AI32" s="39"/>
      <c r="AJ32" s="39"/>
      <c r="AK32" s="39">
        <v>0</v>
      </c>
      <c r="AL32" s="39"/>
      <c r="AM32" s="39"/>
      <c r="AN32" s="39"/>
      <c r="AO32" s="39">
        <v>0</v>
      </c>
      <c r="AP32" s="39">
        <v>0</v>
      </c>
      <c r="AQ32" s="39"/>
      <c r="AR32" s="39"/>
      <c r="AS32" s="39"/>
      <c r="AT32" s="39"/>
      <c r="AU32" s="39"/>
      <c r="AV32" s="39"/>
      <c r="AW32" s="39">
        <v>1348000000</v>
      </c>
      <c r="AX32" s="39"/>
      <c r="AY32" s="39"/>
      <c r="AZ32" s="39"/>
      <c r="BA32" s="39"/>
      <c r="BB32" s="39"/>
      <c r="BC32" s="39">
        <v>0</v>
      </c>
      <c r="BD32" s="39"/>
      <c r="BE32" s="39"/>
      <c r="BF32" s="39">
        <v>0</v>
      </c>
      <c r="BG32" s="39">
        <v>0</v>
      </c>
      <c r="BH32" s="39"/>
      <c r="BI32" s="42"/>
      <c r="BJ32" s="48"/>
      <c r="BK32" s="39"/>
      <c r="BL32" s="45">
        <f t="shared" si="13"/>
        <v>0</v>
      </c>
      <c r="BM32" s="9"/>
      <c r="BN32" s="16"/>
    </row>
    <row r="33" spans="1:111" s="2" customFormat="1" ht="54" x14ac:dyDescent="0.25">
      <c r="A33" s="67">
        <v>30</v>
      </c>
      <c r="B33" s="94"/>
      <c r="C33" s="95" t="s">
        <v>195</v>
      </c>
      <c r="D33" s="104" t="s">
        <v>197</v>
      </c>
      <c r="E33" s="102" t="s">
        <v>196</v>
      </c>
      <c r="F33" s="112" t="s">
        <v>193</v>
      </c>
      <c r="G33" s="73" t="s">
        <v>181</v>
      </c>
      <c r="H33" s="110" t="s">
        <v>198</v>
      </c>
      <c r="I33" s="85" t="s">
        <v>124</v>
      </c>
      <c r="J33" s="76" t="s">
        <v>20</v>
      </c>
      <c r="K33" s="76" t="s">
        <v>119</v>
      </c>
      <c r="L33" s="92">
        <v>345820</v>
      </c>
      <c r="M33" s="92">
        <v>23800</v>
      </c>
      <c r="N33" s="77">
        <f t="shared" si="9"/>
        <v>369620</v>
      </c>
      <c r="O33" s="73">
        <v>0</v>
      </c>
      <c r="P33" s="73">
        <v>0</v>
      </c>
      <c r="Q33" s="73">
        <f t="shared" si="11"/>
        <v>369620</v>
      </c>
      <c r="R33" s="103">
        <v>0.5</v>
      </c>
      <c r="S33" s="89">
        <f t="shared" si="16"/>
        <v>184810</v>
      </c>
      <c r="T33" s="109">
        <v>46665123710</v>
      </c>
      <c r="U33" s="101"/>
      <c r="V33" s="80">
        <f t="shared" si="15"/>
        <v>184810</v>
      </c>
      <c r="W33" s="73">
        <f t="shared" si="8"/>
        <v>184810</v>
      </c>
      <c r="X33" s="82" t="s">
        <v>584</v>
      </c>
      <c r="Y33" s="83"/>
      <c r="Z33" s="42"/>
      <c r="AA33" s="48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>
        <v>340000000</v>
      </c>
      <c r="AX33" s="39"/>
      <c r="AY33" s="39"/>
      <c r="AZ33" s="39"/>
      <c r="BA33" s="39"/>
      <c r="BB33" s="39"/>
      <c r="BC33" s="39">
        <v>0</v>
      </c>
      <c r="BD33" s="39"/>
      <c r="BE33" s="39"/>
      <c r="BF33" s="44">
        <v>0</v>
      </c>
      <c r="BG33" s="39">
        <v>0</v>
      </c>
      <c r="BH33" s="44"/>
      <c r="BI33" s="42"/>
      <c r="BJ33" s="48">
        <v>340000000</v>
      </c>
      <c r="BK33" s="44">
        <v>0</v>
      </c>
      <c r="BL33" s="45">
        <f t="shared" si="13"/>
        <v>340000000</v>
      </c>
      <c r="BM33" s="9"/>
      <c r="BN33" s="16"/>
    </row>
    <row r="34" spans="1:111" s="2" customFormat="1" ht="54" x14ac:dyDescent="0.25">
      <c r="A34" s="67">
        <v>31</v>
      </c>
      <c r="B34" s="94"/>
      <c r="C34" s="95" t="s">
        <v>199</v>
      </c>
      <c r="D34" s="149" t="s">
        <v>201</v>
      </c>
      <c r="E34" s="158" t="s">
        <v>200</v>
      </c>
      <c r="F34" s="112" t="s">
        <v>202</v>
      </c>
      <c r="G34" s="73"/>
      <c r="H34" s="110" t="s">
        <v>203</v>
      </c>
      <c r="I34" s="85" t="s">
        <v>185</v>
      </c>
      <c r="J34" s="76" t="s">
        <v>20</v>
      </c>
      <c r="K34" s="76" t="s">
        <v>117</v>
      </c>
      <c r="L34" s="92">
        <v>47310</v>
      </c>
      <c r="M34" s="92">
        <v>0</v>
      </c>
      <c r="N34" s="77">
        <f t="shared" si="9"/>
        <v>47310</v>
      </c>
      <c r="O34" s="73">
        <v>0</v>
      </c>
      <c r="P34" s="73">
        <v>0</v>
      </c>
      <c r="Q34" s="73">
        <f t="shared" si="11"/>
        <v>47310</v>
      </c>
      <c r="R34" s="103">
        <v>0.5</v>
      </c>
      <c r="S34" s="89">
        <f t="shared" si="16"/>
        <v>23655</v>
      </c>
      <c r="T34" s="109"/>
      <c r="U34" s="101">
        <v>0</v>
      </c>
      <c r="V34" s="80">
        <f t="shared" si="15"/>
        <v>23655</v>
      </c>
      <c r="W34" s="73">
        <f t="shared" si="8"/>
        <v>23655</v>
      </c>
      <c r="X34" s="82" t="s">
        <v>593</v>
      </c>
      <c r="Y34" s="83"/>
      <c r="Z34" s="42"/>
      <c r="AA34" s="48">
        <f>8*200000000+1*100000000</f>
        <v>1700000000</v>
      </c>
      <c r="AB34" s="39"/>
      <c r="AC34" s="39"/>
      <c r="AD34" s="39">
        <v>1680000000</v>
      </c>
      <c r="AE34" s="39"/>
      <c r="AF34" s="39"/>
      <c r="AG34" s="39"/>
      <c r="AH34" s="39"/>
      <c r="AI34" s="39"/>
      <c r="AJ34" s="39"/>
      <c r="AK34" s="39">
        <v>0</v>
      </c>
      <c r="AL34" s="39"/>
      <c r="AM34" s="39"/>
      <c r="AN34" s="39"/>
      <c r="AO34" s="39"/>
      <c r="AP34" s="39">
        <v>0</v>
      </c>
      <c r="AQ34" s="39"/>
      <c r="AR34" s="39"/>
      <c r="AS34" s="39"/>
      <c r="AT34" s="39"/>
      <c r="AU34" s="39"/>
      <c r="AV34" s="39"/>
      <c r="AW34" s="39">
        <v>300000000</v>
      </c>
      <c r="AX34" s="39"/>
      <c r="AY34" s="39"/>
      <c r="AZ34" s="39"/>
      <c r="BA34" s="39"/>
      <c r="BB34" s="39"/>
      <c r="BC34" s="39">
        <v>0</v>
      </c>
      <c r="BD34" s="39"/>
      <c r="BE34" s="39"/>
      <c r="BF34" s="44">
        <v>0</v>
      </c>
      <c r="BG34" s="39">
        <v>0</v>
      </c>
      <c r="BH34" s="44"/>
      <c r="BI34" s="42"/>
      <c r="BJ34" s="48">
        <v>0</v>
      </c>
      <c r="BK34" s="44">
        <v>0</v>
      </c>
      <c r="BL34" s="45">
        <f t="shared" si="13"/>
        <v>0</v>
      </c>
      <c r="BM34" s="9"/>
      <c r="BN34" s="16" t="s">
        <v>16</v>
      </c>
    </row>
    <row r="35" spans="1:111" s="2" customFormat="1" ht="54" x14ac:dyDescent="0.25">
      <c r="A35" s="67">
        <v>32</v>
      </c>
      <c r="B35" s="94"/>
      <c r="C35" s="95" t="s">
        <v>204</v>
      </c>
      <c r="D35" s="149" t="s">
        <v>206</v>
      </c>
      <c r="E35" s="158" t="s">
        <v>205</v>
      </c>
      <c r="F35" s="112" t="s">
        <v>207</v>
      </c>
      <c r="G35" s="73"/>
      <c r="H35" s="84" t="s">
        <v>208</v>
      </c>
      <c r="I35" s="85" t="s">
        <v>185</v>
      </c>
      <c r="J35" s="76" t="s">
        <v>20</v>
      </c>
      <c r="K35" s="76" t="s">
        <v>117</v>
      </c>
      <c r="L35" s="92">
        <v>90011</v>
      </c>
      <c r="M35" s="92">
        <v>0</v>
      </c>
      <c r="N35" s="77">
        <f t="shared" si="9"/>
        <v>90011</v>
      </c>
      <c r="O35" s="73">
        <v>0</v>
      </c>
      <c r="P35" s="73">
        <v>0</v>
      </c>
      <c r="Q35" s="73">
        <f t="shared" si="11"/>
        <v>90011</v>
      </c>
      <c r="R35" s="103">
        <v>0.25</v>
      </c>
      <c r="S35" s="89">
        <f t="shared" si="16"/>
        <v>22502.75</v>
      </c>
      <c r="T35" s="109"/>
      <c r="U35" s="101">
        <v>0</v>
      </c>
      <c r="V35" s="80">
        <f t="shared" si="15"/>
        <v>22502.75</v>
      </c>
      <c r="W35" s="73">
        <f t="shared" si="8"/>
        <v>67508.25</v>
      </c>
      <c r="X35" s="82" t="s">
        <v>627</v>
      </c>
      <c r="Y35" s="83"/>
      <c r="Z35" s="42"/>
      <c r="AA35" s="48">
        <v>0</v>
      </c>
      <c r="AB35" s="39"/>
      <c r="AC35" s="39"/>
      <c r="AD35" s="39">
        <v>2212575000</v>
      </c>
      <c r="AE35" s="39"/>
      <c r="AF35" s="39"/>
      <c r="AG35" s="39"/>
      <c r="AH35" s="39"/>
      <c r="AI35" s="39"/>
      <c r="AJ35" s="39"/>
      <c r="AK35" s="39">
        <v>0</v>
      </c>
      <c r="AL35" s="39"/>
      <c r="AM35" s="39"/>
      <c r="AN35" s="39"/>
      <c r="AO35" s="39">
        <v>0</v>
      </c>
      <c r="AP35" s="39">
        <v>0</v>
      </c>
      <c r="AQ35" s="39"/>
      <c r="AR35" s="39"/>
      <c r="AS35" s="39">
        <v>0</v>
      </c>
      <c r="AT35" s="39"/>
      <c r="AU35" s="39"/>
      <c r="AV35" s="39"/>
      <c r="AW35" s="39">
        <v>295010000</v>
      </c>
      <c r="AX35" s="39"/>
      <c r="AY35" s="39"/>
      <c r="AZ35" s="39"/>
      <c r="BA35" s="39"/>
      <c r="BB35" s="39"/>
      <c r="BC35" s="39">
        <v>0</v>
      </c>
      <c r="BD35" s="39"/>
      <c r="BE35" s="39"/>
      <c r="BF35" s="44">
        <v>0</v>
      </c>
      <c r="BG35" s="39">
        <v>0</v>
      </c>
      <c r="BH35" s="44"/>
      <c r="BI35" s="42"/>
      <c r="BJ35" s="48">
        <v>0</v>
      </c>
      <c r="BK35" s="44">
        <v>0</v>
      </c>
      <c r="BL35" s="45">
        <f t="shared" si="13"/>
        <v>0</v>
      </c>
      <c r="BM35" s="9"/>
      <c r="BN35" s="16"/>
    </row>
    <row r="36" spans="1:111" s="2" customFormat="1" ht="54" x14ac:dyDescent="0.25">
      <c r="A36" s="67">
        <v>33</v>
      </c>
      <c r="B36" s="94"/>
      <c r="C36" s="95" t="s">
        <v>209</v>
      </c>
      <c r="D36" s="104" t="s">
        <v>212</v>
      </c>
      <c r="E36" s="96" t="s">
        <v>211</v>
      </c>
      <c r="F36" s="112" t="s">
        <v>210</v>
      </c>
      <c r="G36" s="73" t="s">
        <v>96</v>
      </c>
      <c r="H36" s="84" t="s">
        <v>213</v>
      </c>
      <c r="I36" s="85" t="s">
        <v>141</v>
      </c>
      <c r="J36" s="76" t="s">
        <v>20</v>
      </c>
      <c r="K36" s="76" t="s">
        <v>119</v>
      </c>
      <c r="L36" s="92">
        <v>41410</v>
      </c>
      <c r="M36" s="92">
        <v>0</v>
      </c>
      <c r="N36" s="77">
        <f t="shared" si="9"/>
        <v>41410</v>
      </c>
      <c r="O36" s="73">
        <v>0</v>
      </c>
      <c r="P36" s="73">
        <v>0</v>
      </c>
      <c r="Q36" s="73">
        <f t="shared" si="11"/>
        <v>41410</v>
      </c>
      <c r="R36" s="103">
        <v>0.25</v>
      </c>
      <c r="S36" s="89">
        <f t="shared" si="16"/>
        <v>10352.5</v>
      </c>
      <c r="T36" s="109"/>
      <c r="U36" s="101">
        <v>0</v>
      </c>
      <c r="V36" s="80">
        <f t="shared" si="15"/>
        <v>10352.5</v>
      </c>
      <c r="W36" s="73">
        <f t="shared" si="8"/>
        <v>31057.5</v>
      </c>
      <c r="X36" s="82" t="s">
        <v>586</v>
      </c>
      <c r="Y36" s="83"/>
      <c r="Z36" s="42"/>
      <c r="AA36" s="48"/>
      <c r="AB36" s="39"/>
      <c r="AC36" s="39"/>
      <c r="AD36" s="39"/>
      <c r="AE36" s="39"/>
      <c r="AF36" s="39"/>
      <c r="AG36" s="39"/>
      <c r="AH36" s="39"/>
      <c r="AI36" s="39"/>
      <c r="AJ36" s="39"/>
      <c r="AK36" s="39">
        <v>0</v>
      </c>
      <c r="AL36" s="39"/>
      <c r="AM36" s="39"/>
      <c r="AN36" s="39"/>
      <c r="AO36" s="39"/>
      <c r="AP36" s="39">
        <v>0</v>
      </c>
      <c r="AQ36" s="39"/>
      <c r="AR36" s="39"/>
      <c r="AS36" s="39">
        <v>0</v>
      </c>
      <c r="AT36" s="39"/>
      <c r="AU36" s="39"/>
      <c r="AV36" s="39"/>
      <c r="AW36" s="39">
        <v>288900000</v>
      </c>
      <c r="AX36" s="39"/>
      <c r="AY36" s="39"/>
      <c r="AZ36" s="39"/>
      <c r="BA36" s="39"/>
      <c r="BB36" s="39"/>
      <c r="BC36" s="39">
        <v>0</v>
      </c>
      <c r="BD36" s="39"/>
      <c r="BE36" s="39"/>
      <c r="BF36" s="44">
        <v>0</v>
      </c>
      <c r="BG36" s="39">
        <v>0</v>
      </c>
      <c r="BH36" s="44"/>
      <c r="BI36" s="42"/>
      <c r="BJ36" s="48">
        <v>288900000</v>
      </c>
      <c r="BK36" s="44"/>
      <c r="BL36" s="45">
        <f t="shared" si="13"/>
        <v>288900000</v>
      </c>
      <c r="BM36" s="9"/>
      <c r="BN36" s="16"/>
    </row>
    <row r="37" spans="1:111" s="2" customFormat="1" ht="54" x14ac:dyDescent="0.25">
      <c r="A37" s="67">
        <v>34</v>
      </c>
      <c r="B37" s="94"/>
      <c r="C37" s="95" t="s">
        <v>214</v>
      </c>
      <c r="D37" s="113" t="s">
        <v>215</v>
      </c>
      <c r="E37" s="114" t="s">
        <v>125</v>
      </c>
      <c r="F37" s="115" t="s">
        <v>60</v>
      </c>
      <c r="G37" s="73" t="s">
        <v>130</v>
      </c>
      <c r="H37" s="84" t="s">
        <v>216</v>
      </c>
      <c r="I37" s="85" t="s">
        <v>141</v>
      </c>
      <c r="J37" s="76" t="s">
        <v>20</v>
      </c>
      <c r="K37" s="76" t="s">
        <v>119</v>
      </c>
      <c r="L37" s="116">
        <v>43000</v>
      </c>
      <c r="M37" s="116">
        <v>0</v>
      </c>
      <c r="N37" s="117">
        <f t="shared" si="9"/>
        <v>43000</v>
      </c>
      <c r="O37" s="73">
        <f>N37*9%</f>
        <v>3870</v>
      </c>
      <c r="P37" s="105">
        <v>0</v>
      </c>
      <c r="Q37" s="118">
        <f t="shared" si="11"/>
        <v>46870</v>
      </c>
      <c r="R37" s="119">
        <v>0.25</v>
      </c>
      <c r="S37" s="89">
        <f t="shared" si="16"/>
        <v>10750</v>
      </c>
      <c r="T37" s="120"/>
      <c r="U37" s="121">
        <v>0</v>
      </c>
      <c r="V37" s="80">
        <f t="shared" si="15"/>
        <v>10750</v>
      </c>
      <c r="W37" s="73">
        <f t="shared" si="8"/>
        <v>36120</v>
      </c>
      <c r="X37" s="82" t="s">
        <v>591</v>
      </c>
      <c r="Y37" s="83"/>
      <c r="Z37" s="42"/>
      <c r="AA37" s="50"/>
      <c r="AB37" s="51"/>
      <c r="AC37" s="51"/>
      <c r="AD37" s="51">
        <v>1099200000</v>
      </c>
      <c r="AE37" s="51"/>
      <c r="AF37" s="51"/>
      <c r="AG37" s="51"/>
      <c r="AH37" s="51"/>
      <c r="AI37" s="51"/>
      <c r="AJ37" s="51"/>
      <c r="AK37" s="51">
        <v>0</v>
      </c>
      <c r="AL37" s="51"/>
      <c r="AM37" s="51"/>
      <c r="AN37" s="51"/>
      <c r="AO37" s="51">
        <v>0</v>
      </c>
      <c r="AP37" s="51">
        <v>0</v>
      </c>
      <c r="AQ37" s="51"/>
      <c r="AR37" s="51"/>
      <c r="AS37" s="51"/>
      <c r="AT37" s="51"/>
      <c r="AU37" s="51"/>
      <c r="AV37" s="51"/>
      <c r="AW37" s="51"/>
      <c r="AX37" s="51"/>
      <c r="AY37" s="51"/>
      <c r="AZ37" s="51">
        <v>219840000</v>
      </c>
      <c r="BA37" s="51">
        <v>111452</v>
      </c>
      <c r="BB37" s="51" t="s">
        <v>88</v>
      </c>
      <c r="BC37" s="51">
        <v>0</v>
      </c>
      <c r="BD37" s="51"/>
      <c r="BE37" s="51"/>
      <c r="BF37" s="52">
        <v>0</v>
      </c>
      <c r="BG37" s="51">
        <v>0</v>
      </c>
      <c r="BH37" s="52"/>
      <c r="BI37" s="42"/>
      <c r="BJ37" s="50">
        <v>219840000</v>
      </c>
      <c r="BK37" s="52">
        <v>0</v>
      </c>
      <c r="BL37" s="53">
        <f t="shared" si="13"/>
        <v>219840000</v>
      </c>
      <c r="BM37" s="9"/>
      <c r="BN37" s="16"/>
    </row>
    <row r="38" spans="1:111" s="15" customFormat="1" ht="54" x14ac:dyDescent="0.25">
      <c r="A38" s="67">
        <v>35</v>
      </c>
      <c r="B38" s="94"/>
      <c r="C38" s="95" t="s">
        <v>217</v>
      </c>
      <c r="D38" s="149" t="s">
        <v>221</v>
      </c>
      <c r="E38" s="158" t="s">
        <v>219</v>
      </c>
      <c r="F38" s="112" t="s">
        <v>218</v>
      </c>
      <c r="G38" s="73"/>
      <c r="H38" s="84" t="s">
        <v>220</v>
      </c>
      <c r="I38" s="85" t="s">
        <v>185</v>
      </c>
      <c r="J38" s="76" t="s">
        <v>20</v>
      </c>
      <c r="K38" s="76" t="s">
        <v>117</v>
      </c>
      <c r="L38" s="92">
        <v>597974</v>
      </c>
      <c r="M38" s="92">
        <v>0</v>
      </c>
      <c r="N38" s="92">
        <f t="shared" si="9"/>
        <v>597974</v>
      </c>
      <c r="O38" s="105">
        <v>0</v>
      </c>
      <c r="P38" s="78">
        <f>-N38*10%</f>
        <v>-59797.4</v>
      </c>
      <c r="Q38" s="105">
        <f t="shared" si="11"/>
        <v>538176.6</v>
      </c>
      <c r="R38" s="103">
        <v>0.25</v>
      </c>
      <c r="S38" s="89">
        <f t="shared" si="16"/>
        <v>149493.5</v>
      </c>
      <c r="T38" s="109"/>
      <c r="U38" s="101">
        <v>0</v>
      </c>
      <c r="V38" s="80">
        <f t="shared" si="15"/>
        <v>149493.5</v>
      </c>
      <c r="W38" s="73">
        <f t="shared" si="8"/>
        <v>388683.1</v>
      </c>
      <c r="X38" s="82" t="s">
        <v>590</v>
      </c>
      <c r="Y38" s="83"/>
      <c r="Z38" s="54"/>
      <c r="AA38" s="55">
        <v>0</v>
      </c>
      <c r="AB38" s="46"/>
      <c r="AC38" s="46"/>
      <c r="AD38" s="46">
        <v>0</v>
      </c>
      <c r="AE38" s="46"/>
      <c r="AF38" s="46"/>
      <c r="AG38" s="46"/>
      <c r="AH38" s="46"/>
      <c r="AI38" s="46"/>
      <c r="AJ38" s="46"/>
      <c r="AK38" s="46">
        <v>0</v>
      </c>
      <c r="AL38" s="46"/>
      <c r="AM38" s="46"/>
      <c r="AN38" s="46"/>
      <c r="AO38" s="46">
        <v>0</v>
      </c>
      <c r="AP38" s="46">
        <v>0</v>
      </c>
      <c r="AQ38" s="46"/>
      <c r="AR38" s="46"/>
      <c r="AS38" s="46">
        <v>0</v>
      </c>
      <c r="AT38" s="46"/>
      <c r="AU38" s="46"/>
      <c r="AV38" s="46"/>
      <c r="AW38" s="46">
        <v>0</v>
      </c>
      <c r="AX38" s="46"/>
      <c r="AY38" s="46"/>
      <c r="AZ38" s="46"/>
      <c r="BA38" s="46"/>
      <c r="BB38" s="46"/>
      <c r="BC38" s="46">
        <v>0</v>
      </c>
      <c r="BD38" s="46"/>
      <c r="BE38" s="46"/>
      <c r="BF38" s="46">
        <v>0</v>
      </c>
      <c r="BG38" s="46">
        <v>0</v>
      </c>
      <c r="BH38" s="46"/>
      <c r="BI38" s="54"/>
      <c r="BJ38" s="55">
        <v>0</v>
      </c>
      <c r="BK38" s="46">
        <v>0</v>
      </c>
      <c r="BL38" s="56">
        <v>0</v>
      </c>
      <c r="BM38" s="12"/>
      <c r="BN38" s="17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</row>
    <row r="39" spans="1:111" s="2" customFormat="1" ht="54" x14ac:dyDescent="0.25">
      <c r="A39" s="67">
        <v>36</v>
      </c>
      <c r="B39" s="94"/>
      <c r="C39" s="95" t="s">
        <v>222</v>
      </c>
      <c r="D39" s="150" t="s">
        <v>224</v>
      </c>
      <c r="E39" s="107" t="s">
        <v>223</v>
      </c>
      <c r="F39" s="112" t="s">
        <v>225</v>
      </c>
      <c r="G39" s="87"/>
      <c r="H39" s="84" t="s">
        <v>226</v>
      </c>
      <c r="I39" s="122"/>
      <c r="J39" s="76" t="s">
        <v>20</v>
      </c>
      <c r="K39" s="76" t="s">
        <v>117</v>
      </c>
      <c r="L39" s="77">
        <v>3076324</v>
      </c>
      <c r="M39" s="77">
        <v>0</v>
      </c>
      <c r="N39" s="77">
        <f t="shared" si="9"/>
        <v>3076324</v>
      </c>
      <c r="O39" s="73">
        <v>0</v>
      </c>
      <c r="P39" s="78">
        <f>-N39*10%</f>
        <v>-307632.40000000002</v>
      </c>
      <c r="Q39" s="105">
        <f t="shared" si="11"/>
        <v>2768691.6</v>
      </c>
      <c r="R39" s="79">
        <v>0.25</v>
      </c>
      <c r="S39" s="89">
        <f t="shared" si="16"/>
        <v>769081</v>
      </c>
      <c r="T39" s="81"/>
      <c r="U39" s="80">
        <v>0</v>
      </c>
      <c r="V39" s="80">
        <f t="shared" si="15"/>
        <v>769081</v>
      </c>
      <c r="W39" s="73">
        <f t="shared" si="8"/>
        <v>1999610.6</v>
      </c>
      <c r="X39" s="82" t="s">
        <v>600</v>
      </c>
      <c r="Y39" s="83"/>
      <c r="Z39" s="42"/>
      <c r="AA39" s="40"/>
      <c r="AB39" s="41"/>
      <c r="AC39" s="41"/>
      <c r="AD39" s="41"/>
      <c r="AE39" s="41"/>
      <c r="AF39" s="41"/>
      <c r="AG39" s="41"/>
      <c r="AH39" s="41"/>
      <c r="AI39" s="41"/>
      <c r="AJ39" s="41"/>
      <c r="AK39" s="41">
        <v>0</v>
      </c>
      <c r="AL39" s="41"/>
      <c r="AM39" s="41"/>
      <c r="AN39" s="41"/>
      <c r="AO39" s="41"/>
      <c r="AP39" s="41">
        <v>0</v>
      </c>
      <c r="AQ39" s="41"/>
      <c r="AR39" s="41"/>
      <c r="AS39" s="41"/>
      <c r="AT39" s="41"/>
      <c r="AU39" s="41"/>
      <c r="AV39" s="41"/>
      <c r="AW39" s="41">
        <v>120000000</v>
      </c>
      <c r="AX39" s="41"/>
      <c r="AY39" s="41"/>
      <c r="AZ39" s="41"/>
      <c r="BA39" s="41"/>
      <c r="BB39" s="41"/>
      <c r="BC39" s="41">
        <v>0</v>
      </c>
      <c r="BD39" s="41"/>
      <c r="BE39" s="41"/>
      <c r="BF39" s="41">
        <v>0</v>
      </c>
      <c r="BG39" s="41">
        <v>0</v>
      </c>
      <c r="BH39" s="41"/>
      <c r="BI39" s="42"/>
      <c r="BJ39" s="40">
        <v>0</v>
      </c>
      <c r="BK39" s="41">
        <v>0</v>
      </c>
      <c r="BL39" s="45">
        <f t="shared" si="13"/>
        <v>0</v>
      </c>
      <c r="BM39" s="9"/>
      <c r="BN39" s="16"/>
    </row>
    <row r="40" spans="1:111" s="2" customFormat="1" ht="54" x14ac:dyDescent="0.25">
      <c r="A40" s="67">
        <v>37</v>
      </c>
      <c r="B40" s="94"/>
      <c r="C40" s="95" t="s">
        <v>227</v>
      </c>
      <c r="D40" s="104" t="s">
        <v>228</v>
      </c>
      <c r="E40" s="96" t="s">
        <v>229</v>
      </c>
      <c r="F40" s="112" t="s">
        <v>230</v>
      </c>
      <c r="G40" s="73" t="s">
        <v>207</v>
      </c>
      <c r="H40" s="84" t="s">
        <v>231</v>
      </c>
      <c r="I40" s="85" t="s">
        <v>141</v>
      </c>
      <c r="J40" s="76" t="s">
        <v>10</v>
      </c>
      <c r="K40" s="76" t="s">
        <v>119</v>
      </c>
      <c r="L40" s="105">
        <v>11330659410</v>
      </c>
      <c r="M40" s="105">
        <v>0</v>
      </c>
      <c r="N40" s="73">
        <f t="shared" si="9"/>
        <v>11330659410</v>
      </c>
      <c r="O40" s="73">
        <v>0</v>
      </c>
      <c r="P40" s="73">
        <v>0</v>
      </c>
      <c r="Q40" s="105">
        <f t="shared" si="11"/>
        <v>11330659410</v>
      </c>
      <c r="R40" s="103">
        <v>0.4</v>
      </c>
      <c r="S40" s="123">
        <f t="shared" si="16"/>
        <v>4532263764</v>
      </c>
      <c r="T40" s="109"/>
      <c r="U40" s="101">
        <v>0</v>
      </c>
      <c r="V40" s="80">
        <f t="shared" si="15"/>
        <v>4532263764</v>
      </c>
      <c r="W40" s="73">
        <f t="shared" si="8"/>
        <v>6798395646</v>
      </c>
      <c r="X40" s="82" t="s">
        <v>586</v>
      </c>
      <c r="Y40" s="83"/>
      <c r="Z40" s="42"/>
      <c r="AA40" s="40"/>
      <c r="AB40" s="41"/>
      <c r="AC40" s="41"/>
      <c r="AD40" s="41">
        <v>776250000</v>
      </c>
      <c r="AE40" s="41"/>
      <c r="AF40" s="41"/>
      <c r="AG40" s="41"/>
      <c r="AH40" s="41"/>
      <c r="AI40" s="41"/>
      <c r="AJ40" s="41"/>
      <c r="AK40" s="41">
        <v>0</v>
      </c>
      <c r="AL40" s="41"/>
      <c r="AM40" s="41"/>
      <c r="AN40" s="41"/>
      <c r="AO40" s="41"/>
      <c r="AP40" s="41">
        <v>0</v>
      </c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>
        <v>0</v>
      </c>
      <c r="BD40" s="41"/>
      <c r="BE40" s="41"/>
      <c r="BF40" s="41">
        <v>0</v>
      </c>
      <c r="BG40" s="41">
        <v>0</v>
      </c>
      <c r="BH40" s="41"/>
      <c r="BI40" s="42"/>
      <c r="BJ40" s="40"/>
      <c r="BK40" s="41"/>
      <c r="BL40" s="45">
        <f t="shared" si="13"/>
        <v>0</v>
      </c>
      <c r="BM40" s="9"/>
      <c r="BN40" s="16"/>
    </row>
    <row r="41" spans="1:111" s="183" customFormat="1" ht="27" x14ac:dyDescent="0.25">
      <c r="A41" s="160"/>
      <c r="B41" s="161"/>
      <c r="C41" s="162" t="s">
        <v>643</v>
      </c>
      <c r="D41" s="163"/>
      <c r="E41" s="164"/>
      <c r="F41" s="165"/>
      <c r="G41" s="87"/>
      <c r="H41" s="166"/>
      <c r="I41" s="167"/>
      <c r="J41" s="168"/>
      <c r="K41" s="168"/>
      <c r="L41" s="169"/>
      <c r="M41" s="169"/>
      <c r="N41" s="87"/>
      <c r="O41" s="87"/>
      <c r="P41" s="87"/>
      <c r="Q41" s="169"/>
      <c r="R41" s="170"/>
      <c r="S41" s="171"/>
      <c r="T41" s="172"/>
      <c r="U41" s="173"/>
      <c r="V41" s="174"/>
      <c r="W41" s="87"/>
      <c r="X41" s="175"/>
      <c r="Y41" s="176"/>
      <c r="Z41" s="177"/>
      <c r="AA41" s="178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7"/>
      <c r="BJ41" s="178"/>
      <c r="BK41" s="179"/>
      <c r="BL41" s="180"/>
      <c r="BM41" s="181"/>
      <c r="BN41" s="182"/>
    </row>
    <row r="42" spans="1:111" s="2" customFormat="1" ht="54" x14ac:dyDescent="0.25">
      <c r="A42" s="67">
        <v>38</v>
      </c>
      <c r="B42" s="94"/>
      <c r="C42" s="95" t="s">
        <v>232</v>
      </c>
      <c r="D42" s="152" t="s">
        <v>233</v>
      </c>
      <c r="E42" s="96" t="s">
        <v>235</v>
      </c>
      <c r="F42" s="112" t="s">
        <v>218</v>
      </c>
      <c r="G42" s="73"/>
      <c r="H42" s="84" t="s">
        <v>234</v>
      </c>
      <c r="I42" s="85" t="s">
        <v>185</v>
      </c>
      <c r="J42" s="76" t="s">
        <v>20</v>
      </c>
      <c r="K42" s="124" t="s">
        <v>117</v>
      </c>
      <c r="L42" s="92">
        <v>262500</v>
      </c>
      <c r="M42" s="92">
        <v>262500</v>
      </c>
      <c r="N42" s="77">
        <f t="shared" ref="N42:N51" si="17">SUM(L42:M42)</f>
        <v>525000</v>
      </c>
      <c r="O42" s="73">
        <v>0</v>
      </c>
      <c r="P42" s="78">
        <f>-N42*10%</f>
        <v>-52500</v>
      </c>
      <c r="Q42" s="105">
        <f t="shared" si="11"/>
        <v>472500</v>
      </c>
      <c r="R42" s="103">
        <v>0.4</v>
      </c>
      <c r="S42" s="90">
        <f t="shared" si="16"/>
        <v>210000</v>
      </c>
      <c r="T42" s="100"/>
      <c r="U42" s="101">
        <v>5648892600</v>
      </c>
      <c r="V42" s="80">
        <f t="shared" si="15"/>
        <v>5649102600</v>
      </c>
      <c r="W42" s="73">
        <f t="shared" si="8"/>
        <v>-5648630100</v>
      </c>
      <c r="X42" s="82" t="s">
        <v>586</v>
      </c>
      <c r="Y42" s="83"/>
      <c r="Z42" s="42"/>
      <c r="AA42" s="40"/>
      <c r="AB42" s="41"/>
      <c r="AC42" s="41"/>
      <c r="AD42" s="41"/>
      <c r="AE42" s="41"/>
      <c r="AF42" s="41"/>
      <c r="AG42" s="41"/>
      <c r="AH42" s="41"/>
      <c r="AI42" s="41"/>
      <c r="AJ42" s="41"/>
      <c r="AK42" s="41">
        <v>78540000000</v>
      </c>
      <c r="AL42" s="41">
        <v>111228</v>
      </c>
      <c r="AM42" s="41" t="s">
        <v>86</v>
      </c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>
        <v>13090000000</v>
      </c>
      <c r="BD42" s="41">
        <v>111228</v>
      </c>
      <c r="BE42" s="41" t="s">
        <v>86</v>
      </c>
      <c r="BF42" s="41"/>
      <c r="BG42" s="41"/>
      <c r="BH42" s="41"/>
      <c r="BI42" s="42"/>
      <c r="BJ42" s="40">
        <v>0</v>
      </c>
      <c r="BK42" s="41">
        <v>0</v>
      </c>
      <c r="BL42" s="45">
        <f t="shared" si="13"/>
        <v>0</v>
      </c>
      <c r="BM42" s="9"/>
      <c r="BN42" s="16"/>
    </row>
    <row r="43" spans="1:111" s="2" customFormat="1" ht="54" x14ac:dyDescent="0.25">
      <c r="A43" s="67">
        <v>39</v>
      </c>
      <c r="B43" s="94"/>
      <c r="C43" s="95" t="s">
        <v>237</v>
      </c>
      <c r="D43" s="152" t="s">
        <v>236</v>
      </c>
      <c r="E43" s="96" t="s">
        <v>235</v>
      </c>
      <c r="F43" s="112" t="s">
        <v>238</v>
      </c>
      <c r="G43" s="73" t="s">
        <v>210</v>
      </c>
      <c r="H43" s="84" t="s">
        <v>239</v>
      </c>
      <c r="I43" s="85" t="s">
        <v>124</v>
      </c>
      <c r="J43" s="76" t="s">
        <v>10</v>
      </c>
      <c r="K43" s="76" t="s">
        <v>119</v>
      </c>
      <c r="L43" s="105">
        <v>6600000000</v>
      </c>
      <c r="M43" s="105">
        <v>0</v>
      </c>
      <c r="N43" s="73">
        <f t="shared" si="17"/>
        <v>6600000000</v>
      </c>
      <c r="O43" s="73">
        <v>0</v>
      </c>
      <c r="P43" s="73">
        <v>0</v>
      </c>
      <c r="Q43" s="105">
        <f t="shared" si="11"/>
        <v>6600000000</v>
      </c>
      <c r="R43" s="103">
        <v>0.5</v>
      </c>
      <c r="S43" s="123">
        <f t="shared" si="16"/>
        <v>3300000000</v>
      </c>
      <c r="T43" s="109"/>
      <c r="U43" s="101">
        <v>0</v>
      </c>
      <c r="V43" s="80">
        <f t="shared" si="15"/>
        <v>3300000000</v>
      </c>
      <c r="W43" s="73">
        <f t="shared" si="8"/>
        <v>3300000000</v>
      </c>
      <c r="X43" s="82" t="s">
        <v>607</v>
      </c>
      <c r="Y43" s="83"/>
      <c r="Z43" s="42"/>
      <c r="AA43" s="40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2"/>
      <c r="BJ43" s="40"/>
      <c r="BK43" s="41"/>
      <c r="BL43" s="45">
        <f t="shared" si="13"/>
        <v>0</v>
      </c>
      <c r="BM43" s="9"/>
      <c r="BN43" s="16"/>
    </row>
    <row r="44" spans="1:111" s="183" customFormat="1" ht="27" x14ac:dyDescent="0.25">
      <c r="A44" s="160"/>
      <c r="B44" s="161"/>
      <c r="C44" s="162" t="s">
        <v>651</v>
      </c>
      <c r="D44" s="184"/>
      <c r="E44" s="164"/>
      <c r="F44" s="165"/>
      <c r="G44" s="87"/>
      <c r="H44" s="166"/>
      <c r="I44" s="167"/>
      <c r="J44" s="168"/>
      <c r="K44" s="168"/>
      <c r="L44" s="169"/>
      <c r="M44" s="169"/>
      <c r="N44" s="87"/>
      <c r="O44" s="87"/>
      <c r="P44" s="87"/>
      <c r="Q44" s="169"/>
      <c r="R44" s="170"/>
      <c r="S44" s="171"/>
      <c r="T44" s="172"/>
      <c r="U44" s="173"/>
      <c r="V44" s="174"/>
      <c r="W44" s="87"/>
      <c r="X44" s="175"/>
      <c r="Y44" s="176"/>
      <c r="Z44" s="177"/>
      <c r="AA44" s="178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7"/>
      <c r="BJ44" s="178"/>
      <c r="BK44" s="179"/>
      <c r="BL44" s="180"/>
      <c r="BM44" s="181"/>
      <c r="BN44" s="182"/>
    </row>
    <row r="45" spans="1:111" s="2" customFormat="1" ht="54" x14ac:dyDescent="0.25">
      <c r="A45" s="67">
        <v>40</v>
      </c>
      <c r="B45" s="94"/>
      <c r="C45" s="95" t="s">
        <v>240</v>
      </c>
      <c r="D45" s="104" t="s">
        <v>17</v>
      </c>
      <c r="E45" s="96" t="s">
        <v>241</v>
      </c>
      <c r="F45" s="112" t="s">
        <v>247</v>
      </c>
      <c r="G45" s="87"/>
      <c r="H45" s="84" t="s">
        <v>248</v>
      </c>
      <c r="I45" s="85" t="s">
        <v>185</v>
      </c>
      <c r="J45" s="76" t="s">
        <v>20</v>
      </c>
      <c r="K45" s="76"/>
      <c r="L45" s="92">
        <v>1068859</v>
      </c>
      <c r="M45" s="92">
        <v>0</v>
      </c>
      <c r="N45" s="77">
        <f t="shared" si="17"/>
        <v>1068859</v>
      </c>
      <c r="O45" s="73">
        <v>0</v>
      </c>
      <c r="P45" s="78">
        <f>-N45*10%</f>
        <v>-106885.90000000001</v>
      </c>
      <c r="Q45" s="105">
        <f t="shared" si="11"/>
        <v>961973.1</v>
      </c>
      <c r="R45" s="103">
        <v>0.25</v>
      </c>
      <c r="S45" s="89">
        <f t="shared" si="16"/>
        <v>267214.75</v>
      </c>
      <c r="T45" s="109"/>
      <c r="U45" s="101">
        <v>0</v>
      </c>
      <c r="V45" s="80">
        <f t="shared" si="15"/>
        <v>267214.75</v>
      </c>
      <c r="W45" s="73">
        <f t="shared" si="8"/>
        <v>694758.35</v>
      </c>
      <c r="X45" s="125" t="s">
        <v>605</v>
      </c>
      <c r="Y45" s="83"/>
      <c r="Z45" s="42"/>
      <c r="AA45" s="40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2"/>
      <c r="BJ45" s="40"/>
      <c r="BK45" s="41"/>
      <c r="BL45" s="45">
        <f t="shared" si="13"/>
        <v>0</v>
      </c>
      <c r="BM45" s="9"/>
      <c r="BN45" s="16"/>
    </row>
    <row r="46" spans="1:111" s="2" customFormat="1" ht="54" x14ac:dyDescent="0.25">
      <c r="A46" s="67">
        <v>41</v>
      </c>
      <c r="B46" s="94"/>
      <c r="C46" s="95" t="s">
        <v>249</v>
      </c>
      <c r="D46" s="149" t="s">
        <v>132</v>
      </c>
      <c r="E46" s="155" t="s">
        <v>131</v>
      </c>
      <c r="F46" s="112" t="s">
        <v>250</v>
      </c>
      <c r="G46" s="73"/>
      <c r="H46" s="84" t="s">
        <v>251</v>
      </c>
      <c r="I46" s="85" t="s">
        <v>185</v>
      </c>
      <c r="J46" s="76" t="s">
        <v>20</v>
      </c>
      <c r="K46" s="76" t="s">
        <v>117</v>
      </c>
      <c r="L46" s="92">
        <v>2400000</v>
      </c>
      <c r="M46" s="92">
        <v>0</v>
      </c>
      <c r="N46" s="77">
        <f t="shared" si="17"/>
        <v>2400000</v>
      </c>
      <c r="O46" s="73">
        <v>0</v>
      </c>
      <c r="P46" s="73">
        <v>0</v>
      </c>
      <c r="Q46" s="105">
        <f t="shared" si="11"/>
        <v>2400000</v>
      </c>
      <c r="R46" s="103">
        <v>0.25</v>
      </c>
      <c r="S46" s="89">
        <f t="shared" si="16"/>
        <v>600000</v>
      </c>
      <c r="T46" s="109"/>
      <c r="U46" s="101">
        <v>0</v>
      </c>
      <c r="V46" s="80">
        <f t="shared" si="15"/>
        <v>600000</v>
      </c>
      <c r="W46" s="73">
        <f t="shared" si="8"/>
        <v>1800000</v>
      </c>
      <c r="X46" s="82" t="s">
        <v>600</v>
      </c>
      <c r="Y46" s="88" t="s">
        <v>603</v>
      </c>
      <c r="Z46" s="42"/>
      <c r="AA46" s="40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2"/>
      <c r="BJ46" s="40"/>
      <c r="BK46" s="41"/>
      <c r="BL46" s="45">
        <f t="shared" si="13"/>
        <v>0</v>
      </c>
      <c r="BM46" s="9"/>
      <c r="BN46" s="16"/>
    </row>
    <row r="47" spans="1:111" s="2" customFormat="1" ht="54" x14ac:dyDescent="0.25">
      <c r="A47" s="67">
        <v>42</v>
      </c>
      <c r="B47" s="94"/>
      <c r="C47" s="95" t="s">
        <v>252</v>
      </c>
      <c r="D47" s="104" t="s">
        <v>253</v>
      </c>
      <c r="E47" s="71" t="s">
        <v>263</v>
      </c>
      <c r="F47" s="112" t="s">
        <v>60</v>
      </c>
      <c r="G47" s="73" t="s">
        <v>616</v>
      </c>
      <c r="H47" s="110" t="s">
        <v>254</v>
      </c>
      <c r="I47" s="85" t="s">
        <v>141</v>
      </c>
      <c r="J47" s="76" t="s">
        <v>20</v>
      </c>
      <c r="K47" s="76" t="s">
        <v>119</v>
      </c>
      <c r="L47" s="92">
        <v>20460</v>
      </c>
      <c r="M47" s="92">
        <v>0</v>
      </c>
      <c r="N47" s="77">
        <f t="shared" si="17"/>
        <v>20460</v>
      </c>
      <c r="O47" s="73">
        <v>0</v>
      </c>
      <c r="P47" s="73">
        <v>0</v>
      </c>
      <c r="Q47" s="73">
        <f t="shared" si="11"/>
        <v>20460</v>
      </c>
      <c r="R47" s="103">
        <v>0.25</v>
      </c>
      <c r="S47" s="89">
        <f t="shared" si="16"/>
        <v>5115</v>
      </c>
      <c r="T47" s="109">
        <v>1479339840</v>
      </c>
      <c r="U47" s="101">
        <v>0</v>
      </c>
      <c r="V47" s="80">
        <f t="shared" si="15"/>
        <v>5115</v>
      </c>
      <c r="W47" s="73">
        <f t="shared" si="8"/>
        <v>15345</v>
      </c>
      <c r="X47" s="82" t="s">
        <v>586</v>
      </c>
      <c r="Y47" s="83"/>
      <c r="Z47" s="42"/>
      <c r="AA47" s="40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2"/>
      <c r="BJ47" s="40"/>
      <c r="BK47" s="41"/>
      <c r="BL47" s="45"/>
      <c r="BM47" s="9"/>
      <c r="BN47" s="16"/>
    </row>
    <row r="48" spans="1:111" s="2" customFormat="1" ht="54" x14ac:dyDescent="0.25">
      <c r="A48" s="67">
        <v>43</v>
      </c>
      <c r="B48" s="94"/>
      <c r="C48" s="95" t="s">
        <v>255</v>
      </c>
      <c r="D48" s="104" t="s">
        <v>256</v>
      </c>
      <c r="E48" s="71" t="s">
        <v>257</v>
      </c>
      <c r="F48" s="112" t="s">
        <v>258</v>
      </c>
      <c r="G48" s="87"/>
      <c r="H48" s="84" t="s">
        <v>259</v>
      </c>
      <c r="I48" s="85" t="s">
        <v>185</v>
      </c>
      <c r="J48" s="76" t="s">
        <v>20</v>
      </c>
      <c r="K48" s="76" t="s">
        <v>117</v>
      </c>
      <c r="L48" s="92">
        <v>1400000</v>
      </c>
      <c r="M48" s="92">
        <v>0</v>
      </c>
      <c r="N48" s="77">
        <f t="shared" si="17"/>
        <v>1400000</v>
      </c>
      <c r="O48" s="73">
        <v>0</v>
      </c>
      <c r="P48" s="126"/>
      <c r="Q48" s="73">
        <f t="shared" si="11"/>
        <v>1400000</v>
      </c>
      <c r="R48" s="103">
        <v>0.25</v>
      </c>
      <c r="S48" s="89">
        <f t="shared" si="16"/>
        <v>350000</v>
      </c>
      <c r="T48" s="109"/>
      <c r="U48" s="101">
        <v>0</v>
      </c>
      <c r="V48" s="80">
        <f t="shared" si="15"/>
        <v>350000</v>
      </c>
      <c r="W48" s="73">
        <f t="shared" si="8"/>
        <v>1050000</v>
      </c>
      <c r="X48" s="82" t="s">
        <v>600</v>
      </c>
      <c r="Y48" s="83"/>
      <c r="Z48" s="42"/>
      <c r="AA48" s="40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2"/>
      <c r="BJ48" s="40"/>
      <c r="BK48" s="41"/>
      <c r="BL48" s="45"/>
      <c r="BM48" s="9"/>
      <c r="BN48" s="16"/>
    </row>
    <row r="49" spans="1:66" s="2" customFormat="1" ht="54" x14ac:dyDescent="0.25">
      <c r="A49" s="67">
        <v>44</v>
      </c>
      <c r="B49" s="94"/>
      <c r="C49" s="95" t="s">
        <v>260</v>
      </c>
      <c r="D49" s="149" t="s">
        <v>262</v>
      </c>
      <c r="E49" s="71" t="s">
        <v>169</v>
      </c>
      <c r="F49" s="112" t="s">
        <v>261</v>
      </c>
      <c r="G49" s="73" t="s">
        <v>246</v>
      </c>
      <c r="H49" s="110" t="s">
        <v>264</v>
      </c>
      <c r="I49" s="85" t="s">
        <v>141</v>
      </c>
      <c r="J49" s="76" t="s">
        <v>20</v>
      </c>
      <c r="K49" s="76" t="s">
        <v>119</v>
      </c>
      <c r="L49" s="92">
        <v>15900</v>
      </c>
      <c r="M49" s="92">
        <v>0</v>
      </c>
      <c r="N49" s="77">
        <f t="shared" si="17"/>
        <v>15900</v>
      </c>
      <c r="O49" s="73">
        <v>0</v>
      </c>
      <c r="P49" s="78">
        <f>-N49*5%</f>
        <v>-795</v>
      </c>
      <c r="Q49" s="73">
        <f t="shared" si="11"/>
        <v>15105</v>
      </c>
      <c r="R49" s="103">
        <v>0.5</v>
      </c>
      <c r="S49" s="90">
        <f t="shared" si="16"/>
        <v>7950</v>
      </c>
      <c r="T49" s="100"/>
      <c r="U49" s="101">
        <v>0</v>
      </c>
      <c r="V49" s="80">
        <f t="shared" si="15"/>
        <v>7950</v>
      </c>
      <c r="W49" s="73">
        <f t="shared" si="8"/>
        <v>7155</v>
      </c>
      <c r="X49" s="82" t="s">
        <v>586</v>
      </c>
      <c r="Y49" s="83"/>
      <c r="Z49" s="42"/>
      <c r="AA49" s="40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2"/>
      <c r="BJ49" s="40"/>
      <c r="BK49" s="41"/>
      <c r="BL49" s="45"/>
      <c r="BM49" s="9"/>
      <c r="BN49" s="16"/>
    </row>
    <row r="50" spans="1:66" s="2" customFormat="1" ht="54" x14ac:dyDescent="0.25">
      <c r="A50" s="67">
        <v>45</v>
      </c>
      <c r="B50" s="94"/>
      <c r="C50" s="95" t="s">
        <v>269</v>
      </c>
      <c r="D50" s="127" t="s">
        <v>266</v>
      </c>
      <c r="E50" s="71" t="s">
        <v>265</v>
      </c>
      <c r="F50" s="112" t="s">
        <v>267</v>
      </c>
      <c r="G50" s="112" t="s">
        <v>94</v>
      </c>
      <c r="H50" s="110" t="s">
        <v>268</v>
      </c>
      <c r="I50" s="85" t="s">
        <v>270</v>
      </c>
      <c r="J50" s="76" t="s">
        <v>10</v>
      </c>
      <c r="K50" s="76" t="s">
        <v>119</v>
      </c>
      <c r="L50" s="105">
        <v>1174050000</v>
      </c>
      <c r="M50" s="105">
        <v>0</v>
      </c>
      <c r="N50" s="73">
        <f t="shared" si="17"/>
        <v>1174050000</v>
      </c>
      <c r="O50" s="73">
        <v>0</v>
      </c>
      <c r="P50" s="78">
        <v>0</v>
      </c>
      <c r="Q50" s="73">
        <f t="shared" si="11"/>
        <v>1174050000</v>
      </c>
      <c r="R50" s="103">
        <v>0.5</v>
      </c>
      <c r="S50" s="128">
        <f t="shared" si="16"/>
        <v>587025000</v>
      </c>
      <c r="T50" s="100"/>
      <c r="U50" s="101">
        <v>0</v>
      </c>
      <c r="V50" s="80">
        <f t="shared" si="15"/>
        <v>587025000</v>
      </c>
      <c r="W50" s="73">
        <f t="shared" ref="W50:W88" si="18">Q50-V50</f>
        <v>587025000</v>
      </c>
      <c r="X50" s="82" t="s">
        <v>587</v>
      </c>
      <c r="Y50" s="83" t="s">
        <v>588</v>
      </c>
      <c r="Z50" s="42"/>
      <c r="AA50" s="40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2"/>
      <c r="BJ50" s="40"/>
      <c r="BK50" s="41"/>
      <c r="BL50" s="45"/>
      <c r="BM50" s="9"/>
      <c r="BN50" s="16"/>
    </row>
    <row r="51" spans="1:66" s="2" customFormat="1" ht="54" x14ac:dyDescent="0.25">
      <c r="A51" s="67">
        <v>46</v>
      </c>
      <c r="B51" s="94"/>
      <c r="C51" s="95" t="s">
        <v>271</v>
      </c>
      <c r="D51" s="148" t="s">
        <v>273</v>
      </c>
      <c r="E51" s="71" t="s">
        <v>272</v>
      </c>
      <c r="F51" s="112" t="s">
        <v>274</v>
      </c>
      <c r="G51" s="129"/>
      <c r="H51" s="84" t="s">
        <v>275</v>
      </c>
      <c r="I51" s="85" t="s">
        <v>185</v>
      </c>
      <c r="J51" s="76" t="s">
        <v>20</v>
      </c>
      <c r="K51" s="76" t="s">
        <v>117</v>
      </c>
      <c r="L51" s="92">
        <v>9154500</v>
      </c>
      <c r="M51" s="92">
        <v>0</v>
      </c>
      <c r="N51" s="77">
        <f t="shared" si="17"/>
        <v>9154500</v>
      </c>
      <c r="O51" s="73">
        <v>0</v>
      </c>
      <c r="P51" s="78">
        <f>-N48*10%</f>
        <v>-140000</v>
      </c>
      <c r="Q51" s="73">
        <f t="shared" si="11"/>
        <v>9014500</v>
      </c>
      <c r="R51" s="103">
        <v>0.25</v>
      </c>
      <c r="S51" s="90">
        <f t="shared" si="16"/>
        <v>2288625</v>
      </c>
      <c r="T51" s="100"/>
      <c r="U51" s="101">
        <v>0</v>
      </c>
      <c r="V51" s="80">
        <f t="shared" si="15"/>
        <v>2288625</v>
      </c>
      <c r="W51" s="73">
        <f t="shared" si="18"/>
        <v>6725875</v>
      </c>
      <c r="X51" s="82" t="s">
        <v>617</v>
      </c>
      <c r="Y51" s="83" t="s">
        <v>618</v>
      </c>
      <c r="Z51" s="42"/>
      <c r="AA51" s="40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2"/>
      <c r="BJ51" s="40"/>
      <c r="BK51" s="41"/>
      <c r="BL51" s="45"/>
      <c r="BM51" s="9"/>
      <c r="BN51" s="16"/>
    </row>
    <row r="52" spans="1:66" s="2" customFormat="1" ht="54" x14ac:dyDescent="0.25">
      <c r="A52" s="67">
        <v>47</v>
      </c>
      <c r="B52" s="94"/>
      <c r="C52" s="95" t="s">
        <v>242</v>
      </c>
      <c r="D52" s="70" t="s">
        <v>244</v>
      </c>
      <c r="E52" s="96" t="s">
        <v>243</v>
      </c>
      <c r="F52" s="112" t="s">
        <v>245</v>
      </c>
      <c r="G52" s="73" t="s">
        <v>246</v>
      </c>
      <c r="H52" s="110" t="s">
        <v>268</v>
      </c>
      <c r="I52" s="85" t="s">
        <v>141</v>
      </c>
      <c r="J52" s="76" t="s">
        <v>20</v>
      </c>
      <c r="K52" s="76" t="s">
        <v>119</v>
      </c>
      <c r="L52" s="92">
        <v>37211</v>
      </c>
      <c r="M52" s="92">
        <v>0</v>
      </c>
      <c r="N52" s="77">
        <f t="shared" ref="N52:N53" si="19">SUM(L52:M52)</f>
        <v>37211</v>
      </c>
      <c r="O52" s="73">
        <f t="shared" si="10"/>
        <v>3348.99</v>
      </c>
      <c r="P52" s="78">
        <f>-2604-13</f>
        <v>-2617</v>
      </c>
      <c r="Q52" s="105">
        <f t="shared" ref="Q52:Q53" si="20">SUM(N52:P52)</f>
        <v>37942.99</v>
      </c>
      <c r="R52" s="103">
        <v>0.4</v>
      </c>
      <c r="S52" s="89">
        <f t="shared" ref="S52" si="21">N52*R52</f>
        <v>14884.400000000001</v>
      </c>
      <c r="T52" s="109"/>
      <c r="U52" s="101">
        <v>23059.01</v>
      </c>
      <c r="V52" s="80">
        <f t="shared" si="15"/>
        <v>37943.410000000003</v>
      </c>
      <c r="W52" s="73">
        <f t="shared" si="18"/>
        <v>-0.42000000000552973</v>
      </c>
      <c r="X52" s="82" t="s">
        <v>586</v>
      </c>
      <c r="Y52" s="83"/>
      <c r="Z52" s="42"/>
      <c r="AA52" s="40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2"/>
      <c r="BJ52" s="40"/>
      <c r="BK52" s="41"/>
      <c r="BL52" s="45">
        <f t="shared" ref="BL52" si="22">BJ52+BK52</f>
        <v>0</v>
      </c>
      <c r="BM52" s="9"/>
      <c r="BN52" s="16"/>
    </row>
    <row r="53" spans="1:66" s="2" customFormat="1" ht="54" x14ac:dyDescent="0.25">
      <c r="A53" s="67">
        <v>48</v>
      </c>
      <c r="B53" s="68"/>
      <c r="C53" s="95" t="s">
        <v>282</v>
      </c>
      <c r="D53" s="148" t="s">
        <v>132</v>
      </c>
      <c r="E53" s="155" t="s">
        <v>131</v>
      </c>
      <c r="F53" s="112" t="s">
        <v>283</v>
      </c>
      <c r="G53" s="73"/>
      <c r="H53" s="84" t="s">
        <v>284</v>
      </c>
      <c r="I53" s="85" t="s">
        <v>185</v>
      </c>
      <c r="J53" s="76" t="s">
        <v>20</v>
      </c>
      <c r="K53" s="76" t="s">
        <v>117</v>
      </c>
      <c r="L53" s="92">
        <v>145700</v>
      </c>
      <c r="M53" s="92">
        <v>0</v>
      </c>
      <c r="N53" s="77">
        <f t="shared" si="19"/>
        <v>145700</v>
      </c>
      <c r="O53" s="73">
        <v>0</v>
      </c>
      <c r="P53" s="73">
        <v>0</v>
      </c>
      <c r="Q53" s="105">
        <f t="shared" si="20"/>
        <v>145700</v>
      </c>
      <c r="R53" s="103">
        <v>1</v>
      </c>
      <c r="S53" s="89">
        <f t="shared" si="16"/>
        <v>145700</v>
      </c>
      <c r="T53" s="109"/>
      <c r="U53" s="101">
        <v>0</v>
      </c>
      <c r="V53" s="80">
        <f t="shared" si="15"/>
        <v>145700</v>
      </c>
      <c r="W53" s="73">
        <f t="shared" si="18"/>
        <v>0</v>
      </c>
      <c r="X53" s="82" t="s">
        <v>600</v>
      </c>
      <c r="Y53" s="88" t="s">
        <v>604</v>
      </c>
      <c r="Z53" s="42"/>
      <c r="AA53" s="5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2"/>
      <c r="BJ53" s="57"/>
      <c r="BK53" s="47"/>
      <c r="BL53" s="56">
        <f t="shared" si="13"/>
        <v>0</v>
      </c>
      <c r="BM53" s="9"/>
      <c r="BN53" s="16"/>
    </row>
    <row r="54" spans="1:66" s="183" customFormat="1" ht="27" x14ac:dyDescent="0.25">
      <c r="A54" s="160"/>
      <c r="B54" s="161"/>
      <c r="C54" s="162" t="s">
        <v>644</v>
      </c>
      <c r="D54" s="185"/>
      <c r="E54" s="186"/>
      <c r="F54" s="165"/>
      <c r="G54" s="87"/>
      <c r="H54" s="166"/>
      <c r="I54" s="167"/>
      <c r="J54" s="168"/>
      <c r="K54" s="168"/>
      <c r="L54" s="187"/>
      <c r="M54" s="187"/>
      <c r="N54" s="188"/>
      <c r="O54" s="87"/>
      <c r="P54" s="87"/>
      <c r="Q54" s="169"/>
      <c r="R54" s="170"/>
      <c r="S54" s="189"/>
      <c r="T54" s="172"/>
      <c r="U54" s="173"/>
      <c r="V54" s="174"/>
      <c r="W54" s="87"/>
      <c r="X54" s="175"/>
      <c r="Y54" s="190"/>
      <c r="Z54" s="177"/>
      <c r="AA54" s="178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7"/>
      <c r="BJ54" s="178"/>
      <c r="BK54" s="179"/>
      <c r="BL54" s="180"/>
      <c r="BM54" s="181"/>
      <c r="BN54" s="182"/>
    </row>
    <row r="55" spans="1:66" s="2" customFormat="1" ht="54" x14ac:dyDescent="0.25">
      <c r="A55" s="67">
        <v>49</v>
      </c>
      <c r="B55" s="94"/>
      <c r="C55" s="95" t="s">
        <v>276</v>
      </c>
      <c r="D55" s="70" t="s">
        <v>277</v>
      </c>
      <c r="E55" s="96" t="s">
        <v>278</v>
      </c>
      <c r="F55" s="112" t="s">
        <v>279</v>
      </c>
      <c r="G55" s="73" t="s">
        <v>280</v>
      </c>
      <c r="H55" s="110" t="s">
        <v>281</v>
      </c>
      <c r="I55" s="85" t="s">
        <v>141</v>
      </c>
      <c r="J55" s="76" t="s">
        <v>20</v>
      </c>
      <c r="K55" s="76" t="s">
        <v>119</v>
      </c>
      <c r="L55" s="92">
        <v>174510.27</v>
      </c>
      <c r="M55" s="92">
        <v>0</v>
      </c>
      <c r="N55" s="77">
        <f t="shared" ref="N55" si="23">SUM(L55:M55)</f>
        <v>174510.27</v>
      </c>
      <c r="O55" s="73">
        <v>0</v>
      </c>
      <c r="P55" s="78">
        <f>-N52*10%</f>
        <v>-3721.1000000000004</v>
      </c>
      <c r="Q55" s="105">
        <f t="shared" ref="Q55" si="24">SUM(N55:P55)</f>
        <v>170789.16999999998</v>
      </c>
      <c r="R55" s="103">
        <v>0.05</v>
      </c>
      <c r="S55" s="89">
        <f t="shared" ref="S55:S60" si="25">N55*R55</f>
        <v>8725.5134999999991</v>
      </c>
      <c r="T55" s="109"/>
      <c r="U55" s="101">
        <v>0</v>
      </c>
      <c r="V55" s="80">
        <f t="shared" si="15"/>
        <v>8725.5134999999991</v>
      </c>
      <c r="W55" s="73">
        <f t="shared" si="18"/>
        <v>162063.65649999998</v>
      </c>
      <c r="X55" s="82" t="s">
        <v>605</v>
      </c>
      <c r="Y55" s="83"/>
      <c r="Z55" s="42"/>
      <c r="AA55" s="40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2"/>
      <c r="BJ55" s="40"/>
      <c r="BK55" s="41"/>
      <c r="BL55" s="45">
        <f t="shared" ref="BL55" si="26">BJ55+BK55</f>
        <v>0</v>
      </c>
      <c r="BM55" s="9"/>
      <c r="BN55" s="16"/>
    </row>
    <row r="56" spans="1:66" s="2" customFormat="1" ht="54" x14ac:dyDescent="0.25">
      <c r="A56" s="67">
        <v>50</v>
      </c>
      <c r="B56" s="68"/>
      <c r="C56" s="95" t="s">
        <v>285</v>
      </c>
      <c r="D56" s="70" t="s">
        <v>228</v>
      </c>
      <c r="E56" s="71" t="s">
        <v>229</v>
      </c>
      <c r="F56" s="112" t="s">
        <v>286</v>
      </c>
      <c r="G56" s="73" t="s">
        <v>287</v>
      </c>
      <c r="H56" s="110" t="s">
        <v>288</v>
      </c>
      <c r="I56" s="85" t="s">
        <v>141</v>
      </c>
      <c r="J56" s="130" t="s">
        <v>10</v>
      </c>
      <c r="K56" s="76" t="s">
        <v>119</v>
      </c>
      <c r="L56" s="105">
        <v>35587492540</v>
      </c>
      <c r="M56" s="105">
        <v>0</v>
      </c>
      <c r="N56" s="73">
        <f>M56+L56</f>
        <v>35587492540</v>
      </c>
      <c r="O56" s="73">
        <f t="shared" ref="O56" si="27">N56*9%</f>
        <v>3202874328.5999999</v>
      </c>
      <c r="P56" s="73">
        <v>0</v>
      </c>
      <c r="Q56" s="73">
        <f t="shared" ref="Q56:Q62" si="28">N56+O56-P56</f>
        <v>38790366868.599998</v>
      </c>
      <c r="R56" s="103">
        <v>0.4</v>
      </c>
      <c r="S56" s="101">
        <f>(L56*R56)+2984</f>
        <v>14235000000</v>
      </c>
      <c r="T56" s="109"/>
      <c r="U56" s="101">
        <f>701997641+2420913311+6212046656+6330228550+8888632913+1547798</f>
        <v>24555366869</v>
      </c>
      <c r="V56" s="80">
        <f t="shared" si="15"/>
        <v>38790366869</v>
      </c>
      <c r="W56" s="73">
        <f t="shared" si="18"/>
        <v>-0.40000152587890625</v>
      </c>
      <c r="X56" s="82" t="s">
        <v>586</v>
      </c>
      <c r="Y56" s="83"/>
      <c r="Z56" s="42"/>
      <c r="AA56" s="5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2"/>
      <c r="BJ56" s="57"/>
      <c r="BK56" s="47"/>
      <c r="BL56" s="56"/>
      <c r="BM56" s="9"/>
      <c r="BN56" s="16"/>
    </row>
    <row r="57" spans="1:66" s="2" customFormat="1" ht="54" x14ac:dyDescent="0.25">
      <c r="A57" s="67">
        <v>51</v>
      </c>
      <c r="B57" s="68"/>
      <c r="C57" s="95" t="s">
        <v>289</v>
      </c>
      <c r="D57" s="148" t="s">
        <v>290</v>
      </c>
      <c r="E57" s="155" t="s">
        <v>291</v>
      </c>
      <c r="F57" s="112" t="s">
        <v>292</v>
      </c>
      <c r="G57" s="73"/>
      <c r="H57" s="110" t="s">
        <v>293</v>
      </c>
      <c r="I57" s="85" t="s">
        <v>185</v>
      </c>
      <c r="J57" s="130" t="s">
        <v>20</v>
      </c>
      <c r="K57" s="130" t="s">
        <v>117</v>
      </c>
      <c r="L57" s="92">
        <v>39536</v>
      </c>
      <c r="M57" s="92">
        <v>0</v>
      </c>
      <c r="N57" s="77">
        <f>M57+L57</f>
        <v>39536</v>
      </c>
      <c r="O57" s="73">
        <v>0</v>
      </c>
      <c r="P57" s="77">
        <f>-N57*10%</f>
        <v>-3953.6000000000004</v>
      </c>
      <c r="Q57" s="73">
        <f t="shared" si="28"/>
        <v>43489.599999999999</v>
      </c>
      <c r="R57" s="103">
        <v>0.9</v>
      </c>
      <c r="S57" s="89">
        <f t="shared" si="25"/>
        <v>35582.400000000001</v>
      </c>
      <c r="T57" s="109"/>
      <c r="U57" s="101">
        <v>0</v>
      </c>
      <c r="V57" s="80">
        <f t="shared" si="15"/>
        <v>35582.400000000001</v>
      </c>
      <c r="W57" s="73">
        <f t="shared" si="18"/>
        <v>7907.1999999999971</v>
      </c>
      <c r="X57" s="87"/>
      <c r="Y57" s="83"/>
      <c r="Z57" s="42"/>
      <c r="AA57" s="58"/>
      <c r="AB57" s="49"/>
      <c r="AC57" s="49"/>
      <c r="AD57" s="49"/>
      <c r="AE57" s="49"/>
      <c r="AF57" s="49"/>
      <c r="AG57" s="49"/>
      <c r="AH57" s="49"/>
      <c r="AI57" s="49"/>
      <c r="AJ57" s="49"/>
      <c r="AK57" s="59">
        <v>14680644000</v>
      </c>
      <c r="AL57" s="49">
        <v>112174</v>
      </c>
      <c r="AM57" s="49" t="s">
        <v>87</v>
      </c>
      <c r="AN57" s="49"/>
      <c r="AO57" s="49"/>
      <c r="AP57" s="49">
        <v>0</v>
      </c>
      <c r="AQ57" s="49"/>
      <c r="AR57" s="49"/>
      <c r="AS57" s="49"/>
      <c r="AT57" s="49"/>
      <c r="AU57" s="49"/>
      <c r="AV57" s="49"/>
      <c r="AW57" s="49"/>
      <c r="AX57" s="49"/>
      <c r="AY57" s="49"/>
      <c r="AZ57" s="59">
        <v>2446774000</v>
      </c>
      <c r="BA57" s="49">
        <v>112174</v>
      </c>
      <c r="BB57" s="49" t="s">
        <v>87</v>
      </c>
      <c r="BC57" s="49"/>
      <c r="BD57" s="49"/>
      <c r="BE57" s="49"/>
      <c r="BF57" s="49">
        <v>0</v>
      </c>
      <c r="BG57" s="49">
        <v>0</v>
      </c>
      <c r="BH57" s="49"/>
      <c r="BI57" s="42"/>
      <c r="BJ57" s="57"/>
      <c r="BK57" s="47"/>
      <c r="BL57" s="56"/>
      <c r="BM57" s="9"/>
      <c r="BN57" s="16"/>
    </row>
    <row r="58" spans="1:66" s="2" customFormat="1" ht="54" x14ac:dyDescent="0.25">
      <c r="A58" s="67">
        <v>52</v>
      </c>
      <c r="B58" s="68"/>
      <c r="C58" s="95" t="s">
        <v>294</v>
      </c>
      <c r="D58" s="148" t="s">
        <v>302</v>
      </c>
      <c r="E58" s="71" t="s">
        <v>300</v>
      </c>
      <c r="F58" s="112" t="s">
        <v>301</v>
      </c>
      <c r="G58" s="73"/>
      <c r="H58" s="110" t="s">
        <v>303</v>
      </c>
      <c r="I58" s="85" t="s">
        <v>185</v>
      </c>
      <c r="J58" s="130" t="s">
        <v>20</v>
      </c>
      <c r="K58" s="130" t="s">
        <v>117</v>
      </c>
      <c r="L58" s="92">
        <v>1242058</v>
      </c>
      <c r="M58" s="92">
        <v>0</v>
      </c>
      <c r="N58" s="77">
        <f>M58+L58</f>
        <v>1242058</v>
      </c>
      <c r="O58" s="73">
        <v>0</v>
      </c>
      <c r="P58" s="77">
        <f>-N58*10%</f>
        <v>-124205.8</v>
      </c>
      <c r="Q58" s="73">
        <f t="shared" si="28"/>
        <v>1366263.8</v>
      </c>
      <c r="R58" s="103">
        <v>0.25</v>
      </c>
      <c r="S58" s="89">
        <v>0</v>
      </c>
      <c r="T58" s="109"/>
      <c r="U58" s="101">
        <v>0</v>
      </c>
      <c r="V58" s="80">
        <f t="shared" si="15"/>
        <v>0</v>
      </c>
      <c r="W58" s="73">
        <f t="shared" si="18"/>
        <v>1366263.8</v>
      </c>
      <c r="X58" s="82" t="s">
        <v>605</v>
      </c>
      <c r="Y58" s="83"/>
      <c r="Z58" s="42"/>
      <c r="AA58" s="57"/>
      <c r="AB58" s="47"/>
      <c r="AC58" s="47"/>
      <c r="AD58" s="47"/>
      <c r="AE58" s="47">
        <v>2000000000</v>
      </c>
      <c r="AF58" s="47">
        <v>402382</v>
      </c>
      <c r="AG58" s="47" t="s">
        <v>95</v>
      </c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>
        <v>600000000</v>
      </c>
      <c r="BA58" s="47">
        <v>402382</v>
      </c>
      <c r="BB58" s="47" t="s">
        <v>95</v>
      </c>
      <c r="BC58" s="47"/>
      <c r="BD58" s="47"/>
      <c r="BE58" s="47"/>
      <c r="BF58" s="47"/>
      <c r="BG58" s="47"/>
      <c r="BH58" s="47"/>
      <c r="BI58" s="42"/>
      <c r="BJ58" s="57"/>
      <c r="BK58" s="47"/>
      <c r="BL58" s="56"/>
      <c r="BM58" s="9"/>
      <c r="BN58" s="16"/>
    </row>
    <row r="59" spans="1:66" s="183" customFormat="1" ht="27" x14ac:dyDescent="0.25">
      <c r="A59" s="160"/>
      <c r="B59" s="191"/>
      <c r="C59" s="162" t="s">
        <v>652</v>
      </c>
      <c r="D59" s="185"/>
      <c r="E59" s="192"/>
      <c r="F59" s="165"/>
      <c r="G59" s="87"/>
      <c r="H59" s="193"/>
      <c r="I59" s="167"/>
      <c r="J59" s="194"/>
      <c r="K59" s="194"/>
      <c r="L59" s="187"/>
      <c r="M59" s="187"/>
      <c r="N59" s="188"/>
      <c r="O59" s="87"/>
      <c r="P59" s="188"/>
      <c r="Q59" s="87"/>
      <c r="R59" s="170"/>
      <c r="S59" s="189"/>
      <c r="T59" s="172"/>
      <c r="U59" s="173"/>
      <c r="V59" s="174"/>
      <c r="W59" s="87"/>
      <c r="X59" s="175"/>
      <c r="Y59" s="176"/>
      <c r="Z59" s="177"/>
      <c r="AA59" s="195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77"/>
      <c r="BJ59" s="195"/>
      <c r="BK59" s="196"/>
      <c r="BL59" s="197"/>
      <c r="BM59" s="181"/>
      <c r="BN59" s="182"/>
    </row>
    <row r="60" spans="1:66" s="2" customFormat="1" ht="54" x14ac:dyDescent="0.25">
      <c r="A60" s="67">
        <v>53</v>
      </c>
      <c r="B60" s="68"/>
      <c r="C60" s="95" t="s">
        <v>307</v>
      </c>
      <c r="D60" s="148" t="s">
        <v>305</v>
      </c>
      <c r="E60" s="155" t="s">
        <v>304</v>
      </c>
      <c r="F60" s="112" t="s">
        <v>301</v>
      </c>
      <c r="G60" s="73"/>
      <c r="H60" s="84" t="s">
        <v>306</v>
      </c>
      <c r="I60" s="85" t="s">
        <v>185</v>
      </c>
      <c r="J60" s="130" t="s">
        <v>20</v>
      </c>
      <c r="K60" s="130" t="s">
        <v>117</v>
      </c>
      <c r="L60" s="92">
        <v>5821500</v>
      </c>
      <c r="M60" s="92">
        <v>0</v>
      </c>
      <c r="N60" s="77">
        <f>L60+M60</f>
        <v>5821500</v>
      </c>
      <c r="O60" s="73">
        <v>0</v>
      </c>
      <c r="P60" s="77">
        <f>-N60*10%</f>
        <v>-582150</v>
      </c>
      <c r="Q60" s="73">
        <f t="shared" si="28"/>
        <v>6403650</v>
      </c>
      <c r="R60" s="103">
        <v>0.25</v>
      </c>
      <c r="S60" s="89">
        <f t="shared" si="25"/>
        <v>1455375</v>
      </c>
      <c r="T60" s="109"/>
      <c r="U60" s="101">
        <v>0</v>
      </c>
      <c r="V60" s="80">
        <f t="shared" si="15"/>
        <v>1455375</v>
      </c>
      <c r="W60" s="73">
        <f t="shared" si="18"/>
        <v>4948275</v>
      </c>
      <c r="X60" s="82" t="s">
        <v>609</v>
      </c>
      <c r="Y60" s="202" t="s">
        <v>655</v>
      </c>
      <c r="Z60" s="42"/>
      <c r="AA60" s="5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2"/>
      <c r="BJ60" s="57"/>
      <c r="BK60" s="47"/>
      <c r="BL60" s="56"/>
      <c r="BM60" s="9"/>
      <c r="BN60" s="16"/>
    </row>
    <row r="61" spans="1:66" s="183" customFormat="1" ht="27" x14ac:dyDescent="0.25">
      <c r="A61" s="160"/>
      <c r="B61" s="191"/>
      <c r="C61" s="162" t="s">
        <v>645</v>
      </c>
      <c r="D61" s="185"/>
      <c r="E61" s="186"/>
      <c r="F61" s="165"/>
      <c r="G61" s="87"/>
      <c r="H61" s="166"/>
      <c r="I61" s="167"/>
      <c r="J61" s="194"/>
      <c r="K61" s="194"/>
      <c r="L61" s="187"/>
      <c r="M61" s="187"/>
      <c r="N61" s="188"/>
      <c r="O61" s="87"/>
      <c r="P61" s="188"/>
      <c r="Q61" s="87"/>
      <c r="R61" s="170"/>
      <c r="S61" s="189"/>
      <c r="T61" s="172"/>
      <c r="U61" s="173"/>
      <c r="V61" s="174"/>
      <c r="W61" s="87"/>
      <c r="X61" s="175"/>
      <c r="Y61" s="176"/>
      <c r="Z61" s="177"/>
      <c r="AA61" s="195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77"/>
      <c r="BJ61" s="195"/>
      <c r="BK61" s="196"/>
      <c r="BL61" s="197"/>
      <c r="BM61" s="181"/>
      <c r="BN61" s="182"/>
    </row>
    <row r="62" spans="1:66" s="2" customFormat="1" ht="54" x14ac:dyDescent="0.25">
      <c r="A62" s="67">
        <v>54</v>
      </c>
      <c r="B62" s="68"/>
      <c r="C62" s="95" t="s">
        <v>308</v>
      </c>
      <c r="D62" s="148" t="s">
        <v>309</v>
      </c>
      <c r="E62" s="71" t="s">
        <v>310</v>
      </c>
      <c r="F62" s="112" t="s">
        <v>311</v>
      </c>
      <c r="G62" s="73"/>
      <c r="H62" s="110" t="s">
        <v>312</v>
      </c>
      <c r="I62" s="85" t="s">
        <v>185</v>
      </c>
      <c r="J62" s="130" t="s">
        <v>20</v>
      </c>
      <c r="K62" s="130"/>
      <c r="L62" s="92">
        <v>56505</v>
      </c>
      <c r="M62" s="92">
        <v>0</v>
      </c>
      <c r="N62" s="77">
        <f>L62+M62</f>
        <v>56505</v>
      </c>
      <c r="O62" s="73">
        <v>0</v>
      </c>
      <c r="P62" s="77">
        <f>-N62*10%</f>
        <v>-5650.5</v>
      </c>
      <c r="Q62" s="73">
        <f t="shared" si="28"/>
        <v>62155.5</v>
      </c>
      <c r="R62" s="103">
        <v>0.5</v>
      </c>
      <c r="S62" s="89">
        <f t="shared" ref="S62:S121" si="29">L62*R62</f>
        <v>28252.5</v>
      </c>
      <c r="T62" s="109"/>
      <c r="U62" s="101">
        <v>0</v>
      </c>
      <c r="V62" s="80">
        <f t="shared" si="15"/>
        <v>28252.5</v>
      </c>
      <c r="W62" s="73">
        <f t="shared" si="18"/>
        <v>33903</v>
      </c>
      <c r="X62" s="82" t="s">
        <v>605</v>
      </c>
      <c r="Y62" s="83" t="s">
        <v>608</v>
      </c>
      <c r="Z62" s="42"/>
      <c r="AA62" s="5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2"/>
      <c r="BJ62" s="57"/>
      <c r="BK62" s="47"/>
      <c r="BL62" s="56"/>
      <c r="BM62" s="9"/>
      <c r="BN62" s="16"/>
    </row>
    <row r="63" spans="1:66" s="2" customFormat="1" ht="54" x14ac:dyDescent="0.25">
      <c r="A63" s="67">
        <v>55</v>
      </c>
      <c r="B63" s="68"/>
      <c r="C63" s="95" t="s">
        <v>313</v>
      </c>
      <c r="D63" s="148" t="s">
        <v>314</v>
      </c>
      <c r="E63" s="71" t="s">
        <v>315</v>
      </c>
      <c r="F63" s="112" t="s">
        <v>316</v>
      </c>
      <c r="G63" s="73"/>
      <c r="H63" s="110" t="s">
        <v>317</v>
      </c>
      <c r="I63" s="85" t="s">
        <v>185</v>
      </c>
      <c r="J63" s="130" t="s">
        <v>20</v>
      </c>
      <c r="K63" s="130"/>
      <c r="L63" s="92">
        <v>47250</v>
      </c>
      <c r="M63" s="92">
        <v>0</v>
      </c>
      <c r="N63" s="77">
        <f>L63+M63</f>
        <v>47250</v>
      </c>
      <c r="O63" s="73">
        <v>0</v>
      </c>
      <c r="P63" s="77">
        <f>-N63*10%</f>
        <v>-4725</v>
      </c>
      <c r="Q63" s="73">
        <f>N63+O63+P63</f>
        <v>42525</v>
      </c>
      <c r="R63" s="103">
        <v>0.4</v>
      </c>
      <c r="S63" s="89">
        <f t="shared" si="29"/>
        <v>18900</v>
      </c>
      <c r="T63" s="109"/>
      <c r="U63" s="101">
        <v>0</v>
      </c>
      <c r="V63" s="80">
        <f t="shared" si="15"/>
        <v>18900</v>
      </c>
      <c r="W63" s="73">
        <f t="shared" si="18"/>
        <v>23625</v>
      </c>
      <c r="X63" s="82" t="s">
        <v>607</v>
      </c>
      <c r="Y63" s="83"/>
      <c r="Z63" s="42"/>
      <c r="AA63" s="57"/>
      <c r="AB63" s="47">
        <v>6075000000</v>
      </c>
      <c r="AC63" s="47">
        <v>111229</v>
      </c>
      <c r="AD63" s="47" t="s">
        <v>91</v>
      </c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>
        <v>4050000000</v>
      </c>
      <c r="AU63" s="47">
        <v>111229</v>
      </c>
      <c r="AV63" s="47" t="s">
        <v>91</v>
      </c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2"/>
      <c r="BJ63" s="57"/>
      <c r="BK63" s="47"/>
      <c r="BL63" s="56"/>
      <c r="BM63" s="9"/>
      <c r="BN63" s="16"/>
    </row>
    <row r="64" spans="1:66" s="183" customFormat="1" ht="27" x14ac:dyDescent="0.25">
      <c r="A64" s="160"/>
      <c r="B64" s="191"/>
      <c r="C64" s="162" t="s">
        <v>646</v>
      </c>
      <c r="D64" s="185"/>
      <c r="E64" s="192"/>
      <c r="F64" s="165"/>
      <c r="G64" s="87"/>
      <c r="H64" s="193"/>
      <c r="I64" s="167"/>
      <c r="J64" s="194"/>
      <c r="K64" s="194"/>
      <c r="L64" s="188"/>
      <c r="M64" s="188"/>
      <c r="N64" s="188"/>
      <c r="O64" s="87"/>
      <c r="P64" s="188"/>
      <c r="Q64" s="87"/>
      <c r="R64" s="170"/>
      <c r="S64" s="189"/>
      <c r="T64" s="198"/>
      <c r="U64" s="174"/>
      <c r="V64" s="174"/>
      <c r="W64" s="87"/>
      <c r="X64" s="175"/>
      <c r="Y64" s="176"/>
      <c r="Z64" s="177"/>
      <c r="AA64" s="178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7"/>
      <c r="BJ64" s="178"/>
      <c r="BK64" s="179"/>
      <c r="BL64" s="180"/>
      <c r="BM64" s="181"/>
      <c r="BN64" s="182"/>
    </row>
    <row r="65" spans="1:66" s="2" customFormat="1" ht="54" x14ac:dyDescent="0.25">
      <c r="A65" s="67">
        <v>56</v>
      </c>
      <c r="B65" s="131"/>
      <c r="C65" s="95" t="s">
        <v>318</v>
      </c>
      <c r="D65" s="70" t="s">
        <v>320</v>
      </c>
      <c r="E65" s="71" t="s">
        <v>319</v>
      </c>
      <c r="F65" s="112" t="s">
        <v>631</v>
      </c>
      <c r="G65" s="73"/>
      <c r="H65" s="84" t="s">
        <v>629</v>
      </c>
      <c r="I65" s="85" t="s">
        <v>630</v>
      </c>
      <c r="J65" s="130" t="s">
        <v>20</v>
      </c>
      <c r="K65" s="76"/>
      <c r="L65" s="73">
        <v>32493</v>
      </c>
      <c r="M65" s="73">
        <v>3249</v>
      </c>
      <c r="N65" s="73">
        <f>M65+L65</f>
        <v>35742</v>
      </c>
      <c r="O65" s="73">
        <f t="shared" ref="O65" si="30">N65*9%</f>
        <v>3216.7799999999997</v>
      </c>
      <c r="P65" s="73">
        <v>0</v>
      </c>
      <c r="Q65" s="73">
        <f t="shared" ref="Q65:Q121" si="31">N65+O65-P65</f>
        <v>38958.78</v>
      </c>
      <c r="R65" s="103">
        <v>0.25</v>
      </c>
      <c r="S65" s="101">
        <f t="shared" si="29"/>
        <v>8123.25</v>
      </c>
      <c r="T65" s="81"/>
      <c r="U65" s="80">
        <v>6615770907</v>
      </c>
      <c r="V65" s="80">
        <f t="shared" si="15"/>
        <v>6615779030.25</v>
      </c>
      <c r="W65" s="73">
        <f t="shared" si="18"/>
        <v>-6615740071.4700003</v>
      </c>
      <c r="X65" s="82" t="s">
        <v>605</v>
      </c>
      <c r="Y65" s="83" t="s">
        <v>608</v>
      </c>
      <c r="Z65" s="42"/>
      <c r="AA65" s="40"/>
      <c r="AB65" s="41"/>
      <c r="AC65" s="41"/>
      <c r="AD65" s="41"/>
      <c r="AE65" s="41">
        <v>29984580000</v>
      </c>
      <c r="AF65" s="41">
        <v>112498</v>
      </c>
      <c r="AG65" s="41" t="s">
        <v>90</v>
      </c>
      <c r="AH65" s="41">
        <v>29984580000</v>
      </c>
      <c r="AI65" s="41">
        <v>112498</v>
      </c>
      <c r="AJ65" s="41" t="s">
        <v>90</v>
      </c>
      <c r="AK65" s="41"/>
      <c r="AL65" s="41"/>
      <c r="AM65" s="41"/>
      <c r="AN65" s="41"/>
      <c r="AO65" s="41"/>
      <c r="AP65" s="41"/>
      <c r="AQ65" s="41"/>
      <c r="AR65" s="41"/>
      <c r="AS65" s="41"/>
      <c r="AT65" s="41">
        <v>4997430000</v>
      </c>
      <c r="AU65" s="41">
        <v>112498</v>
      </c>
      <c r="AV65" s="41" t="s">
        <v>90</v>
      </c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2"/>
      <c r="BJ65" s="40"/>
      <c r="BK65" s="41"/>
      <c r="BL65" s="45">
        <f t="shared" ref="BL65:BL121" si="32">BJ65+BK65</f>
        <v>0</v>
      </c>
      <c r="BM65" s="9"/>
      <c r="BN65" s="16"/>
    </row>
    <row r="66" spans="1:66" s="2" customFormat="1" ht="54" x14ac:dyDescent="0.25">
      <c r="A66" s="67">
        <v>57</v>
      </c>
      <c r="B66" s="131"/>
      <c r="C66" s="95" t="s">
        <v>322</v>
      </c>
      <c r="D66" s="148" t="s">
        <v>323</v>
      </c>
      <c r="E66" s="71" t="s">
        <v>321</v>
      </c>
      <c r="F66" s="112" t="s">
        <v>324</v>
      </c>
      <c r="G66" s="73"/>
      <c r="H66" s="84" t="s">
        <v>325</v>
      </c>
      <c r="I66" s="85" t="s">
        <v>185</v>
      </c>
      <c r="J66" s="130" t="s">
        <v>20</v>
      </c>
      <c r="K66" s="76"/>
      <c r="L66" s="77">
        <v>1275600</v>
      </c>
      <c r="M66" s="77">
        <v>0</v>
      </c>
      <c r="N66" s="77">
        <f t="shared" ref="N66:N120" si="33">L66+M66</f>
        <v>1275600</v>
      </c>
      <c r="O66" s="73">
        <v>0</v>
      </c>
      <c r="P66" s="77">
        <f>-N66*10%</f>
        <v>-127560</v>
      </c>
      <c r="Q66" s="73">
        <f t="shared" ref="Q66:Q120" si="34">N66+O66+P66</f>
        <v>1148040</v>
      </c>
      <c r="R66" s="103">
        <v>0.25</v>
      </c>
      <c r="S66" s="89">
        <f t="shared" si="29"/>
        <v>318900</v>
      </c>
      <c r="T66" s="81"/>
      <c r="U66" s="80">
        <v>0</v>
      </c>
      <c r="V66" s="80">
        <f t="shared" si="15"/>
        <v>318900</v>
      </c>
      <c r="W66" s="73">
        <f t="shared" si="18"/>
        <v>829140</v>
      </c>
      <c r="X66" s="82" t="s">
        <v>605</v>
      </c>
      <c r="Y66" s="83"/>
      <c r="Z66" s="42"/>
      <c r="AA66" s="40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2"/>
      <c r="BJ66" s="40"/>
      <c r="BK66" s="41"/>
      <c r="BL66" s="45"/>
      <c r="BM66" s="9"/>
      <c r="BN66" s="16"/>
    </row>
    <row r="67" spans="1:66" s="2" customFormat="1" ht="54" x14ac:dyDescent="0.25">
      <c r="A67" s="67">
        <v>58</v>
      </c>
      <c r="B67" s="131"/>
      <c r="C67" s="95" t="s">
        <v>326</v>
      </c>
      <c r="D67" s="70" t="s">
        <v>327</v>
      </c>
      <c r="E67" s="71" t="s">
        <v>328</v>
      </c>
      <c r="F67" s="112" t="s">
        <v>93</v>
      </c>
      <c r="G67" s="112" t="s">
        <v>332</v>
      </c>
      <c r="H67" s="110" t="s">
        <v>329</v>
      </c>
      <c r="I67" s="85" t="s">
        <v>330</v>
      </c>
      <c r="J67" s="76" t="s">
        <v>331</v>
      </c>
      <c r="K67" s="76"/>
      <c r="L67" s="73">
        <v>434344832000</v>
      </c>
      <c r="M67" s="73">
        <v>0</v>
      </c>
      <c r="N67" s="78">
        <f t="shared" si="33"/>
        <v>434344832000</v>
      </c>
      <c r="O67" s="73">
        <v>0</v>
      </c>
      <c r="P67" s="73">
        <v>0</v>
      </c>
      <c r="Q67" s="73">
        <f t="shared" si="34"/>
        <v>434344832000</v>
      </c>
      <c r="R67" s="103">
        <v>0.2</v>
      </c>
      <c r="S67" s="80">
        <f t="shared" si="29"/>
        <v>86868966400</v>
      </c>
      <c r="T67" s="81"/>
      <c r="U67" s="80">
        <v>0</v>
      </c>
      <c r="V67" s="80">
        <f t="shared" ref="V67:V101" si="35">U67+S67</f>
        <v>86868966400</v>
      </c>
      <c r="W67" s="73">
        <f t="shared" si="18"/>
        <v>347475865600</v>
      </c>
      <c r="X67" s="82" t="s">
        <v>584</v>
      </c>
      <c r="Y67" s="83" t="s">
        <v>620</v>
      </c>
      <c r="Z67" s="42"/>
      <c r="AA67" s="40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2"/>
      <c r="BJ67" s="40"/>
      <c r="BK67" s="41"/>
      <c r="BL67" s="45"/>
      <c r="BM67" s="9"/>
      <c r="BN67" s="16"/>
    </row>
    <row r="68" spans="1:66" s="2" customFormat="1" ht="54" x14ac:dyDescent="0.25">
      <c r="A68" s="67">
        <v>59</v>
      </c>
      <c r="B68" s="131"/>
      <c r="C68" s="95" t="s">
        <v>333</v>
      </c>
      <c r="D68" s="148" t="s">
        <v>335</v>
      </c>
      <c r="E68" s="155" t="s">
        <v>334</v>
      </c>
      <c r="F68" s="112" t="s">
        <v>336</v>
      </c>
      <c r="G68" s="73"/>
      <c r="H68" s="84" t="s">
        <v>259</v>
      </c>
      <c r="I68" s="85" t="s">
        <v>185</v>
      </c>
      <c r="J68" s="130" t="s">
        <v>20</v>
      </c>
      <c r="K68" s="76"/>
      <c r="L68" s="77">
        <v>270758</v>
      </c>
      <c r="M68" s="77">
        <v>0</v>
      </c>
      <c r="N68" s="77">
        <f t="shared" si="33"/>
        <v>270758</v>
      </c>
      <c r="O68" s="73">
        <v>0</v>
      </c>
      <c r="P68" s="77">
        <f t="shared" ref="P68:P83" si="36">-N68*10%</f>
        <v>-27075.800000000003</v>
      </c>
      <c r="Q68" s="73">
        <f t="shared" si="34"/>
        <v>243682.2</v>
      </c>
      <c r="R68" s="103">
        <v>0.25</v>
      </c>
      <c r="S68" s="86">
        <f t="shared" si="29"/>
        <v>67689.5</v>
      </c>
      <c r="T68" s="81"/>
      <c r="U68" s="80">
        <v>0</v>
      </c>
      <c r="V68" s="80">
        <f t="shared" si="35"/>
        <v>67689.5</v>
      </c>
      <c r="W68" s="73">
        <f t="shared" si="18"/>
        <v>175992.7</v>
      </c>
      <c r="X68" s="82" t="s">
        <v>609</v>
      </c>
      <c r="Y68" s="83" t="s">
        <v>621</v>
      </c>
      <c r="Z68" s="42"/>
      <c r="AA68" s="40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2"/>
      <c r="BJ68" s="40"/>
      <c r="BK68" s="41"/>
      <c r="BL68" s="45"/>
      <c r="BM68" s="9"/>
      <c r="BN68" s="16"/>
    </row>
    <row r="69" spans="1:66" s="2" customFormat="1" ht="54" x14ac:dyDescent="0.25">
      <c r="A69" s="67">
        <v>60</v>
      </c>
      <c r="B69" s="131"/>
      <c r="C69" s="95" t="s">
        <v>337</v>
      </c>
      <c r="D69" s="148" t="s">
        <v>191</v>
      </c>
      <c r="E69" s="71" t="s">
        <v>188</v>
      </c>
      <c r="F69" s="112" t="s">
        <v>338</v>
      </c>
      <c r="G69" s="73" t="s">
        <v>613</v>
      </c>
      <c r="H69" s="110" t="s">
        <v>339</v>
      </c>
      <c r="I69" s="85" t="s">
        <v>185</v>
      </c>
      <c r="J69" s="130" t="s">
        <v>20</v>
      </c>
      <c r="K69" s="76" t="s">
        <v>119</v>
      </c>
      <c r="L69" s="77">
        <v>75867</v>
      </c>
      <c r="M69" s="77">
        <v>0</v>
      </c>
      <c r="N69" s="77">
        <f t="shared" si="33"/>
        <v>75867</v>
      </c>
      <c r="O69" s="73">
        <v>0</v>
      </c>
      <c r="P69" s="77">
        <f t="shared" si="36"/>
        <v>-7586.7000000000007</v>
      </c>
      <c r="Q69" s="73">
        <f t="shared" si="34"/>
        <v>68280.3</v>
      </c>
      <c r="R69" s="103">
        <v>0.25</v>
      </c>
      <c r="S69" s="86">
        <f t="shared" si="29"/>
        <v>18966.75</v>
      </c>
      <c r="T69" s="81"/>
      <c r="U69" s="80">
        <v>0</v>
      </c>
      <c r="V69" s="80">
        <f t="shared" si="35"/>
        <v>18966.75</v>
      </c>
      <c r="W69" s="73">
        <f t="shared" si="18"/>
        <v>49313.55</v>
      </c>
      <c r="X69" s="82" t="s">
        <v>605</v>
      </c>
      <c r="Y69" s="83" t="s">
        <v>608</v>
      </c>
      <c r="Z69" s="42"/>
      <c r="AA69" s="40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2"/>
      <c r="BJ69" s="40"/>
      <c r="BK69" s="41"/>
      <c r="BL69" s="45"/>
      <c r="BM69" s="9"/>
      <c r="BN69" s="16"/>
    </row>
    <row r="70" spans="1:66" s="2" customFormat="1" ht="54" x14ac:dyDescent="0.25">
      <c r="A70" s="67">
        <v>61</v>
      </c>
      <c r="B70" s="131"/>
      <c r="C70" s="95" t="s">
        <v>343</v>
      </c>
      <c r="D70" s="148" t="s">
        <v>143</v>
      </c>
      <c r="E70" s="71" t="s">
        <v>340</v>
      </c>
      <c r="F70" s="112" t="s">
        <v>341</v>
      </c>
      <c r="G70" s="73"/>
      <c r="H70" s="84" t="s">
        <v>342</v>
      </c>
      <c r="I70" s="85" t="s">
        <v>185</v>
      </c>
      <c r="J70" s="130" t="s">
        <v>20</v>
      </c>
      <c r="K70" s="76"/>
      <c r="L70" s="77">
        <v>1981771</v>
      </c>
      <c r="M70" s="77">
        <v>-33240</v>
      </c>
      <c r="N70" s="77">
        <f t="shared" si="33"/>
        <v>1948531</v>
      </c>
      <c r="O70" s="73">
        <v>0</v>
      </c>
      <c r="P70" s="77">
        <f t="shared" si="36"/>
        <v>-194853.1</v>
      </c>
      <c r="Q70" s="73">
        <f t="shared" si="34"/>
        <v>1753677.9</v>
      </c>
      <c r="R70" s="103">
        <v>0.25</v>
      </c>
      <c r="S70" s="86">
        <f t="shared" si="29"/>
        <v>495442.75</v>
      </c>
      <c r="T70" s="81"/>
      <c r="U70" s="80">
        <v>0</v>
      </c>
      <c r="V70" s="80">
        <f t="shared" si="35"/>
        <v>495442.75</v>
      </c>
      <c r="W70" s="73">
        <f t="shared" si="18"/>
        <v>1258235.1499999999</v>
      </c>
      <c r="X70" s="87" t="s">
        <v>622</v>
      </c>
      <c r="Y70" s="83"/>
      <c r="Z70" s="42"/>
      <c r="AA70" s="40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2"/>
      <c r="BJ70" s="40"/>
      <c r="BK70" s="41"/>
      <c r="BL70" s="45"/>
      <c r="BM70" s="9"/>
      <c r="BN70" s="16"/>
    </row>
    <row r="71" spans="1:66" s="2" customFormat="1" ht="54" x14ac:dyDescent="0.25">
      <c r="A71" s="67">
        <v>62</v>
      </c>
      <c r="B71" s="131"/>
      <c r="C71" s="95" t="s">
        <v>344</v>
      </c>
      <c r="D71" s="148" t="s">
        <v>345</v>
      </c>
      <c r="E71" s="155" t="s">
        <v>346</v>
      </c>
      <c r="F71" s="112" t="s">
        <v>19</v>
      </c>
      <c r="G71" s="73"/>
      <c r="H71" s="110" t="s">
        <v>347</v>
      </c>
      <c r="I71" s="85" t="s">
        <v>185</v>
      </c>
      <c r="J71" s="130" t="s">
        <v>20</v>
      </c>
      <c r="K71" s="76"/>
      <c r="L71" s="77">
        <v>539000</v>
      </c>
      <c r="M71" s="77">
        <v>0</v>
      </c>
      <c r="N71" s="77">
        <f t="shared" si="33"/>
        <v>539000</v>
      </c>
      <c r="O71" s="73">
        <v>0</v>
      </c>
      <c r="P71" s="77">
        <f t="shared" si="36"/>
        <v>-53900</v>
      </c>
      <c r="Q71" s="73">
        <f t="shared" si="34"/>
        <v>485100</v>
      </c>
      <c r="R71" s="103">
        <v>0.25</v>
      </c>
      <c r="S71" s="86">
        <f t="shared" si="29"/>
        <v>134750</v>
      </c>
      <c r="T71" s="81"/>
      <c r="U71" s="80">
        <v>0</v>
      </c>
      <c r="V71" s="80">
        <f t="shared" si="35"/>
        <v>134750</v>
      </c>
      <c r="W71" s="73">
        <f t="shared" si="18"/>
        <v>350350</v>
      </c>
      <c r="X71" s="82" t="s">
        <v>605</v>
      </c>
      <c r="Y71" s="83"/>
      <c r="Z71" s="42"/>
      <c r="AA71" s="40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2"/>
      <c r="BJ71" s="40"/>
      <c r="BK71" s="41"/>
      <c r="BL71" s="45"/>
      <c r="BM71" s="9"/>
      <c r="BN71" s="16"/>
    </row>
    <row r="72" spans="1:66" s="2" customFormat="1" ht="54" x14ac:dyDescent="0.25">
      <c r="A72" s="67">
        <v>63</v>
      </c>
      <c r="B72" s="131"/>
      <c r="C72" s="95" t="s">
        <v>349</v>
      </c>
      <c r="D72" s="148" t="s">
        <v>350</v>
      </c>
      <c r="E72" s="71" t="s">
        <v>348</v>
      </c>
      <c r="F72" s="112" t="s">
        <v>351</v>
      </c>
      <c r="G72" s="73"/>
      <c r="H72" s="84" t="s">
        <v>352</v>
      </c>
      <c r="I72" s="85" t="s">
        <v>185</v>
      </c>
      <c r="J72" s="76" t="s">
        <v>20</v>
      </c>
      <c r="K72" s="76" t="s">
        <v>117</v>
      </c>
      <c r="L72" s="77">
        <v>136192</v>
      </c>
      <c r="M72" s="77">
        <v>0</v>
      </c>
      <c r="N72" s="77">
        <f t="shared" si="33"/>
        <v>136192</v>
      </c>
      <c r="O72" s="73">
        <v>0</v>
      </c>
      <c r="P72" s="77">
        <f t="shared" si="36"/>
        <v>-13619.2</v>
      </c>
      <c r="Q72" s="73">
        <f t="shared" si="34"/>
        <v>122572.8</v>
      </c>
      <c r="R72" s="103">
        <v>0.25</v>
      </c>
      <c r="S72" s="86">
        <f t="shared" si="29"/>
        <v>34048</v>
      </c>
      <c r="T72" s="81"/>
      <c r="U72" s="80">
        <v>0</v>
      </c>
      <c r="V72" s="80">
        <f t="shared" si="35"/>
        <v>34048</v>
      </c>
      <c r="W72" s="73">
        <f t="shared" si="18"/>
        <v>88524.800000000003</v>
      </c>
      <c r="X72" s="82" t="s">
        <v>617</v>
      </c>
      <c r="Y72" s="83" t="s">
        <v>623</v>
      </c>
      <c r="Z72" s="42"/>
      <c r="AA72" s="40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2"/>
      <c r="BJ72" s="40"/>
      <c r="BK72" s="41"/>
      <c r="BL72" s="45"/>
      <c r="BM72" s="9"/>
      <c r="BN72" s="16"/>
    </row>
    <row r="73" spans="1:66" s="2" customFormat="1" ht="54" x14ac:dyDescent="0.25">
      <c r="A73" s="67">
        <v>64</v>
      </c>
      <c r="B73" s="131"/>
      <c r="C73" s="95" t="s">
        <v>353</v>
      </c>
      <c r="D73" s="148" t="s">
        <v>354</v>
      </c>
      <c r="E73" s="71" t="s">
        <v>355</v>
      </c>
      <c r="F73" s="112" t="s">
        <v>356</v>
      </c>
      <c r="G73" s="73"/>
      <c r="H73" s="84" t="s">
        <v>358</v>
      </c>
      <c r="I73" s="85" t="s">
        <v>185</v>
      </c>
      <c r="J73" s="76" t="s">
        <v>20</v>
      </c>
      <c r="K73" s="76"/>
      <c r="L73" s="77">
        <v>759500</v>
      </c>
      <c r="M73" s="77">
        <f>83000+11200</f>
        <v>94200</v>
      </c>
      <c r="N73" s="77">
        <f t="shared" si="33"/>
        <v>853700</v>
      </c>
      <c r="O73" s="73">
        <v>0</v>
      </c>
      <c r="P73" s="77">
        <f t="shared" si="36"/>
        <v>-85370</v>
      </c>
      <c r="Q73" s="73">
        <f t="shared" si="34"/>
        <v>768330</v>
      </c>
      <c r="R73" s="103">
        <v>0.25</v>
      </c>
      <c r="S73" s="86">
        <f t="shared" si="29"/>
        <v>189875</v>
      </c>
      <c r="T73" s="81"/>
      <c r="U73" s="80">
        <v>0</v>
      </c>
      <c r="V73" s="80">
        <f t="shared" si="35"/>
        <v>189875</v>
      </c>
      <c r="W73" s="73">
        <f t="shared" si="18"/>
        <v>578455</v>
      </c>
      <c r="X73" s="82" t="s">
        <v>605</v>
      </c>
      <c r="Y73" s="83"/>
      <c r="Z73" s="42"/>
      <c r="AA73" s="40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2"/>
      <c r="BJ73" s="40"/>
      <c r="BK73" s="41"/>
      <c r="BL73" s="45"/>
      <c r="BM73" s="9"/>
      <c r="BN73" s="16"/>
    </row>
    <row r="74" spans="1:66" s="2" customFormat="1" ht="54" x14ac:dyDescent="0.25">
      <c r="A74" s="67">
        <v>65</v>
      </c>
      <c r="B74" s="131"/>
      <c r="C74" s="95" t="s">
        <v>359</v>
      </c>
      <c r="D74" s="148" t="s">
        <v>360</v>
      </c>
      <c r="E74" s="155" t="s">
        <v>291</v>
      </c>
      <c r="F74" s="112" t="s">
        <v>69</v>
      </c>
      <c r="G74" s="73"/>
      <c r="H74" s="74" t="s">
        <v>361</v>
      </c>
      <c r="I74" s="85" t="s">
        <v>362</v>
      </c>
      <c r="J74" s="76" t="s">
        <v>20</v>
      </c>
      <c r="K74" s="76"/>
      <c r="L74" s="77">
        <v>1704000</v>
      </c>
      <c r="M74" s="77">
        <v>0</v>
      </c>
      <c r="N74" s="77">
        <f t="shared" si="33"/>
        <v>1704000</v>
      </c>
      <c r="O74" s="73">
        <v>0</v>
      </c>
      <c r="P74" s="77">
        <f t="shared" si="36"/>
        <v>-170400</v>
      </c>
      <c r="Q74" s="73">
        <f t="shared" si="34"/>
        <v>1533600</v>
      </c>
      <c r="R74" s="103">
        <v>0.25</v>
      </c>
      <c r="S74" s="86">
        <f t="shared" si="29"/>
        <v>426000</v>
      </c>
      <c r="T74" s="81"/>
      <c r="U74" s="80">
        <v>0</v>
      </c>
      <c r="V74" s="80">
        <f t="shared" si="35"/>
        <v>426000</v>
      </c>
      <c r="W74" s="73">
        <f t="shared" si="18"/>
        <v>1107600</v>
      </c>
      <c r="X74" s="82" t="s">
        <v>627</v>
      </c>
      <c r="Y74" s="83"/>
      <c r="Z74" s="42"/>
      <c r="AA74" s="40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2"/>
      <c r="BJ74" s="40"/>
      <c r="BK74" s="41"/>
      <c r="BL74" s="45"/>
      <c r="BM74" s="9"/>
      <c r="BN74" s="16"/>
    </row>
    <row r="75" spans="1:66" s="2" customFormat="1" ht="54" x14ac:dyDescent="0.25">
      <c r="A75" s="67">
        <v>66</v>
      </c>
      <c r="B75" s="131"/>
      <c r="C75" s="95" t="s">
        <v>297</v>
      </c>
      <c r="D75" s="148" t="s">
        <v>363</v>
      </c>
      <c r="E75" s="155" t="s">
        <v>291</v>
      </c>
      <c r="F75" s="112" t="s">
        <v>69</v>
      </c>
      <c r="G75" s="73"/>
      <c r="H75" s="74" t="s">
        <v>364</v>
      </c>
      <c r="I75" s="85" t="s">
        <v>162</v>
      </c>
      <c r="J75" s="76" t="s">
        <v>20</v>
      </c>
      <c r="K75" s="76" t="s">
        <v>117</v>
      </c>
      <c r="L75" s="77">
        <v>2137072</v>
      </c>
      <c r="M75" s="77">
        <v>0</v>
      </c>
      <c r="N75" s="77">
        <f t="shared" si="33"/>
        <v>2137072</v>
      </c>
      <c r="O75" s="73">
        <v>0</v>
      </c>
      <c r="P75" s="77">
        <f t="shared" si="36"/>
        <v>-213707.2</v>
      </c>
      <c r="Q75" s="73">
        <f t="shared" si="34"/>
        <v>1923364.8</v>
      </c>
      <c r="R75" s="103">
        <v>0.25</v>
      </c>
      <c r="S75" s="86">
        <f t="shared" si="29"/>
        <v>534268</v>
      </c>
      <c r="T75" s="81"/>
      <c r="U75" s="80">
        <v>0</v>
      </c>
      <c r="V75" s="80">
        <f t="shared" si="35"/>
        <v>534268</v>
      </c>
      <c r="W75" s="73">
        <f t="shared" si="18"/>
        <v>1389096.8</v>
      </c>
      <c r="X75" s="82" t="s">
        <v>627</v>
      </c>
      <c r="Y75" s="83"/>
      <c r="Z75" s="42"/>
      <c r="AA75" s="40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2"/>
      <c r="BJ75" s="40"/>
      <c r="BK75" s="41"/>
      <c r="BL75" s="45"/>
      <c r="BM75" s="9"/>
      <c r="BN75" s="16"/>
    </row>
    <row r="76" spans="1:66" s="2" customFormat="1" ht="54" x14ac:dyDescent="0.25">
      <c r="A76" s="67">
        <v>67</v>
      </c>
      <c r="B76" s="131"/>
      <c r="C76" s="95" t="s">
        <v>365</v>
      </c>
      <c r="D76" s="148" t="s">
        <v>367</v>
      </c>
      <c r="E76" s="71" t="s">
        <v>366</v>
      </c>
      <c r="F76" s="112" t="s">
        <v>31</v>
      </c>
      <c r="G76" s="73"/>
      <c r="H76" s="84" t="s">
        <v>303</v>
      </c>
      <c r="I76" s="85" t="s">
        <v>185</v>
      </c>
      <c r="J76" s="76" t="s">
        <v>20</v>
      </c>
      <c r="K76" s="76" t="s">
        <v>117</v>
      </c>
      <c r="L76" s="77">
        <v>588500</v>
      </c>
      <c r="M76" s="77">
        <v>0</v>
      </c>
      <c r="N76" s="77">
        <f t="shared" si="33"/>
        <v>588500</v>
      </c>
      <c r="O76" s="73">
        <v>0</v>
      </c>
      <c r="P76" s="77">
        <f t="shared" si="36"/>
        <v>-58850</v>
      </c>
      <c r="Q76" s="73">
        <f t="shared" si="34"/>
        <v>529650</v>
      </c>
      <c r="R76" s="103">
        <v>0.25</v>
      </c>
      <c r="S76" s="86">
        <f t="shared" si="29"/>
        <v>147125</v>
      </c>
      <c r="T76" s="81"/>
      <c r="U76" s="80">
        <v>0</v>
      </c>
      <c r="V76" s="80">
        <f t="shared" si="35"/>
        <v>147125</v>
      </c>
      <c r="W76" s="73">
        <f t="shared" si="18"/>
        <v>382525</v>
      </c>
      <c r="X76" s="82" t="s">
        <v>605</v>
      </c>
      <c r="Y76" s="83"/>
      <c r="Z76" s="42"/>
      <c r="AA76" s="40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2"/>
      <c r="BJ76" s="40"/>
      <c r="BK76" s="41"/>
      <c r="BL76" s="45"/>
      <c r="BM76" s="9"/>
      <c r="BN76" s="16"/>
    </row>
    <row r="77" spans="1:66" s="2" customFormat="1" ht="54" x14ac:dyDescent="0.25">
      <c r="A77" s="67">
        <v>68</v>
      </c>
      <c r="B77" s="131"/>
      <c r="C77" s="95" t="s">
        <v>368</v>
      </c>
      <c r="D77" s="148" t="s">
        <v>170</v>
      </c>
      <c r="E77" s="71" t="s">
        <v>169</v>
      </c>
      <c r="F77" s="112" t="s">
        <v>19</v>
      </c>
      <c r="G77" s="73" t="s">
        <v>80</v>
      </c>
      <c r="H77" s="84" t="s">
        <v>369</v>
      </c>
      <c r="I77" s="85" t="s">
        <v>185</v>
      </c>
      <c r="J77" s="76" t="s">
        <v>20</v>
      </c>
      <c r="K77" s="76" t="s">
        <v>119</v>
      </c>
      <c r="L77" s="77">
        <v>215158</v>
      </c>
      <c r="M77" s="77">
        <v>0</v>
      </c>
      <c r="N77" s="77">
        <f t="shared" si="33"/>
        <v>215158</v>
      </c>
      <c r="O77" s="73">
        <v>0</v>
      </c>
      <c r="P77" s="77">
        <f t="shared" si="36"/>
        <v>-21515.800000000003</v>
      </c>
      <c r="Q77" s="73">
        <f t="shared" si="34"/>
        <v>193642.2</v>
      </c>
      <c r="R77" s="103">
        <v>0.25</v>
      </c>
      <c r="S77" s="86">
        <f t="shared" si="29"/>
        <v>53789.5</v>
      </c>
      <c r="T77" s="81"/>
      <c r="U77" s="80">
        <v>0</v>
      </c>
      <c r="V77" s="80">
        <f t="shared" si="35"/>
        <v>53789.5</v>
      </c>
      <c r="W77" s="73">
        <f t="shared" si="18"/>
        <v>139852.70000000001</v>
      </c>
      <c r="X77" s="82" t="s">
        <v>605</v>
      </c>
      <c r="Y77" s="83" t="s">
        <v>612</v>
      </c>
      <c r="Z77" s="42"/>
      <c r="AA77" s="40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2"/>
      <c r="BJ77" s="40"/>
      <c r="BK77" s="41"/>
      <c r="BL77" s="45"/>
      <c r="BM77" s="9"/>
      <c r="BN77" s="16"/>
    </row>
    <row r="78" spans="1:66" s="2" customFormat="1" ht="54" x14ac:dyDescent="0.25">
      <c r="A78" s="67">
        <v>69</v>
      </c>
      <c r="B78" s="131"/>
      <c r="C78" s="95" t="s">
        <v>370</v>
      </c>
      <c r="D78" s="148" t="s">
        <v>372</v>
      </c>
      <c r="E78" s="155" t="s">
        <v>371</v>
      </c>
      <c r="F78" s="112" t="s">
        <v>373</v>
      </c>
      <c r="G78" s="73"/>
      <c r="H78" s="74" t="s">
        <v>203</v>
      </c>
      <c r="I78" s="85" t="s">
        <v>185</v>
      </c>
      <c r="J78" s="76" t="s">
        <v>20</v>
      </c>
      <c r="K78" s="76"/>
      <c r="L78" s="77">
        <v>687700</v>
      </c>
      <c r="M78" s="77">
        <v>0</v>
      </c>
      <c r="N78" s="77">
        <f t="shared" si="33"/>
        <v>687700</v>
      </c>
      <c r="O78" s="73">
        <v>0</v>
      </c>
      <c r="P78" s="77">
        <f t="shared" si="36"/>
        <v>-68770</v>
      </c>
      <c r="Q78" s="73">
        <f t="shared" si="34"/>
        <v>618930</v>
      </c>
      <c r="R78" s="103">
        <v>0.25</v>
      </c>
      <c r="S78" s="86">
        <f t="shared" si="29"/>
        <v>171925</v>
      </c>
      <c r="T78" s="81"/>
      <c r="U78" s="80">
        <v>0</v>
      </c>
      <c r="V78" s="80">
        <f t="shared" si="35"/>
        <v>171925</v>
      </c>
      <c r="W78" s="73">
        <f t="shared" si="18"/>
        <v>447005</v>
      </c>
      <c r="X78" s="82" t="s">
        <v>605</v>
      </c>
      <c r="Y78" s="83"/>
      <c r="Z78" s="42"/>
      <c r="AA78" s="40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2"/>
      <c r="BJ78" s="40"/>
      <c r="BK78" s="41"/>
      <c r="BL78" s="45"/>
      <c r="BM78" s="9"/>
      <c r="BN78" s="16"/>
    </row>
    <row r="79" spans="1:66" s="2" customFormat="1" ht="54" x14ac:dyDescent="0.25">
      <c r="A79" s="67">
        <v>70</v>
      </c>
      <c r="B79" s="131"/>
      <c r="C79" s="95" t="s">
        <v>374</v>
      </c>
      <c r="D79" s="148" t="s">
        <v>375</v>
      </c>
      <c r="E79" s="155" t="s">
        <v>371</v>
      </c>
      <c r="F79" s="112" t="s">
        <v>376</v>
      </c>
      <c r="G79" s="73"/>
      <c r="H79" s="74" t="s">
        <v>357</v>
      </c>
      <c r="I79" s="85" t="s">
        <v>185</v>
      </c>
      <c r="J79" s="76" t="s">
        <v>20</v>
      </c>
      <c r="K79" s="76"/>
      <c r="L79" s="77">
        <v>1283236</v>
      </c>
      <c r="M79" s="77">
        <v>6600</v>
      </c>
      <c r="N79" s="77">
        <f t="shared" si="33"/>
        <v>1289836</v>
      </c>
      <c r="O79" s="73">
        <v>0</v>
      </c>
      <c r="P79" s="77">
        <f t="shared" si="36"/>
        <v>-128983.6</v>
      </c>
      <c r="Q79" s="73">
        <f t="shared" si="34"/>
        <v>1160852.3999999999</v>
      </c>
      <c r="R79" s="103">
        <v>0.25</v>
      </c>
      <c r="S79" s="86">
        <f t="shared" si="29"/>
        <v>320809</v>
      </c>
      <c r="T79" s="81"/>
      <c r="U79" s="80">
        <v>0</v>
      </c>
      <c r="V79" s="80">
        <f t="shared" si="35"/>
        <v>320809</v>
      </c>
      <c r="W79" s="73">
        <f t="shared" si="18"/>
        <v>840043.39999999991</v>
      </c>
      <c r="X79" s="82" t="s">
        <v>605</v>
      </c>
      <c r="Y79" s="83"/>
      <c r="Z79" s="42"/>
      <c r="AA79" s="40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2"/>
      <c r="BJ79" s="40"/>
      <c r="BK79" s="41"/>
      <c r="BL79" s="45"/>
      <c r="BM79" s="9"/>
      <c r="BN79" s="16"/>
    </row>
    <row r="80" spans="1:66" s="183" customFormat="1" ht="27" x14ac:dyDescent="0.25">
      <c r="A80" s="160"/>
      <c r="B80" s="199"/>
      <c r="C80" s="162" t="s">
        <v>647</v>
      </c>
      <c r="D80" s="185"/>
      <c r="E80" s="186"/>
      <c r="F80" s="165"/>
      <c r="G80" s="87"/>
      <c r="H80" s="200"/>
      <c r="I80" s="167"/>
      <c r="J80" s="168"/>
      <c r="K80" s="168"/>
      <c r="L80" s="188"/>
      <c r="M80" s="188"/>
      <c r="N80" s="188"/>
      <c r="O80" s="87"/>
      <c r="P80" s="188"/>
      <c r="Q80" s="87"/>
      <c r="R80" s="170"/>
      <c r="S80" s="201"/>
      <c r="T80" s="198"/>
      <c r="U80" s="174"/>
      <c r="V80" s="174"/>
      <c r="W80" s="87"/>
      <c r="X80" s="175"/>
      <c r="Y80" s="176"/>
      <c r="Z80" s="177"/>
      <c r="AA80" s="178"/>
      <c r="AB80" s="179"/>
      <c r="AC80" s="179"/>
      <c r="AD80" s="179"/>
      <c r="AE80" s="179"/>
      <c r="AF80" s="179"/>
      <c r="AG80" s="179"/>
      <c r="AH80" s="179"/>
      <c r="AI80" s="179"/>
      <c r="AJ80" s="179"/>
      <c r="AK80" s="179"/>
      <c r="AL80" s="179"/>
      <c r="AM80" s="179"/>
      <c r="AN80" s="179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  <c r="BD80" s="179"/>
      <c r="BE80" s="179"/>
      <c r="BF80" s="179"/>
      <c r="BG80" s="179"/>
      <c r="BH80" s="179"/>
      <c r="BI80" s="177"/>
      <c r="BJ80" s="178"/>
      <c r="BK80" s="179"/>
      <c r="BL80" s="180"/>
      <c r="BM80" s="181"/>
      <c r="BN80" s="182"/>
    </row>
    <row r="81" spans="1:66" s="183" customFormat="1" ht="27" x14ac:dyDescent="0.25">
      <c r="A81" s="160"/>
      <c r="B81" s="199"/>
      <c r="C81" s="162" t="s">
        <v>649</v>
      </c>
      <c r="D81" s="185"/>
      <c r="E81" s="186"/>
      <c r="F81" s="165"/>
      <c r="G81" s="87"/>
      <c r="H81" s="200"/>
      <c r="I81" s="167"/>
      <c r="J81" s="168"/>
      <c r="K81" s="168"/>
      <c r="L81" s="188"/>
      <c r="M81" s="188"/>
      <c r="N81" s="188"/>
      <c r="O81" s="87"/>
      <c r="P81" s="188"/>
      <c r="Q81" s="87"/>
      <c r="R81" s="170"/>
      <c r="S81" s="201"/>
      <c r="T81" s="198"/>
      <c r="U81" s="174"/>
      <c r="V81" s="174"/>
      <c r="W81" s="87"/>
      <c r="X81" s="175"/>
      <c r="Y81" s="176"/>
      <c r="Z81" s="177"/>
      <c r="AA81" s="178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  <c r="BD81" s="179"/>
      <c r="BE81" s="179"/>
      <c r="BF81" s="179"/>
      <c r="BG81" s="179"/>
      <c r="BH81" s="179"/>
      <c r="BI81" s="177"/>
      <c r="BJ81" s="178"/>
      <c r="BK81" s="179"/>
      <c r="BL81" s="180"/>
      <c r="BM81" s="181"/>
      <c r="BN81" s="182"/>
    </row>
    <row r="82" spans="1:66" s="183" customFormat="1" ht="27" x14ac:dyDescent="0.25">
      <c r="A82" s="160"/>
      <c r="B82" s="199"/>
      <c r="C82" s="162" t="s">
        <v>648</v>
      </c>
      <c r="D82" s="185"/>
      <c r="E82" s="186"/>
      <c r="F82" s="165"/>
      <c r="G82" s="87"/>
      <c r="H82" s="200"/>
      <c r="I82" s="167"/>
      <c r="J82" s="168"/>
      <c r="K82" s="168"/>
      <c r="L82" s="188"/>
      <c r="M82" s="188"/>
      <c r="N82" s="188"/>
      <c r="O82" s="87"/>
      <c r="P82" s="188"/>
      <c r="Q82" s="87"/>
      <c r="R82" s="170"/>
      <c r="S82" s="201"/>
      <c r="T82" s="198"/>
      <c r="U82" s="174"/>
      <c r="V82" s="174"/>
      <c r="W82" s="87"/>
      <c r="X82" s="175"/>
      <c r="Y82" s="176"/>
      <c r="Z82" s="177"/>
      <c r="AA82" s="178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  <c r="BD82" s="179"/>
      <c r="BE82" s="179"/>
      <c r="BF82" s="179"/>
      <c r="BG82" s="179"/>
      <c r="BH82" s="179"/>
      <c r="BI82" s="177"/>
      <c r="BJ82" s="178"/>
      <c r="BK82" s="179"/>
      <c r="BL82" s="180"/>
      <c r="BM82" s="181"/>
      <c r="BN82" s="182"/>
    </row>
    <row r="83" spans="1:66" s="2" customFormat="1" ht="54" x14ac:dyDescent="0.25">
      <c r="A83" s="67">
        <v>71</v>
      </c>
      <c r="B83" s="131"/>
      <c r="C83" s="95" t="s">
        <v>298</v>
      </c>
      <c r="D83" s="148" t="s">
        <v>224</v>
      </c>
      <c r="E83" s="71" t="s">
        <v>223</v>
      </c>
      <c r="F83" s="112" t="s">
        <v>377</v>
      </c>
      <c r="G83" s="73" t="s">
        <v>19</v>
      </c>
      <c r="H83" s="84" t="s">
        <v>378</v>
      </c>
      <c r="I83" s="85" t="s">
        <v>185</v>
      </c>
      <c r="J83" s="76" t="s">
        <v>20</v>
      </c>
      <c r="K83" s="76" t="s">
        <v>117</v>
      </c>
      <c r="L83" s="77">
        <v>1545800</v>
      </c>
      <c r="M83" s="77">
        <f>370836.36-27222.23</f>
        <v>343614.13</v>
      </c>
      <c r="N83" s="77">
        <f t="shared" si="33"/>
        <v>1889414.13</v>
      </c>
      <c r="O83" s="73">
        <v>0</v>
      </c>
      <c r="P83" s="77">
        <f t="shared" si="36"/>
        <v>-188941.413</v>
      </c>
      <c r="Q83" s="73">
        <f t="shared" si="34"/>
        <v>1700472.7169999999</v>
      </c>
      <c r="R83" s="103">
        <v>0.25</v>
      </c>
      <c r="S83" s="86">
        <f t="shared" si="29"/>
        <v>386450</v>
      </c>
      <c r="T83" s="81">
        <v>0</v>
      </c>
      <c r="U83" s="80">
        <v>0</v>
      </c>
      <c r="V83" s="80">
        <f t="shared" si="35"/>
        <v>386450</v>
      </c>
      <c r="W83" s="73">
        <f t="shared" si="18"/>
        <v>1314022.7169999999</v>
      </c>
      <c r="X83" s="82" t="s">
        <v>584</v>
      </c>
      <c r="Y83" s="83"/>
      <c r="Z83" s="42"/>
      <c r="AA83" s="40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2"/>
      <c r="BJ83" s="40"/>
      <c r="BK83" s="41"/>
      <c r="BL83" s="45"/>
      <c r="BM83" s="9"/>
      <c r="BN83" s="16"/>
    </row>
    <row r="84" spans="1:66" s="2" customFormat="1" ht="54" x14ac:dyDescent="0.25">
      <c r="A84" s="67">
        <v>72</v>
      </c>
      <c r="B84" s="131"/>
      <c r="C84" s="95" t="s">
        <v>379</v>
      </c>
      <c r="D84" s="148" t="s">
        <v>183</v>
      </c>
      <c r="E84" s="154" t="s">
        <v>380</v>
      </c>
      <c r="F84" s="112" t="s">
        <v>381</v>
      </c>
      <c r="G84" s="73"/>
      <c r="H84" s="74" t="s">
        <v>382</v>
      </c>
      <c r="I84" s="85" t="s">
        <v>185</v>
      </c>
      <c r="J84" s="76" t="s">
        <v>20</v>
      </c>
      <c r="K84" s="76"/>
      <c r="L84" s="77">
        <v>446962</v>
      </c>
      <c r="M84" s="77">
        <v>0</v>
      </c>
      <c r="N84" s="77">
        <f t="shared" si="33"/>
        <v>446962</v>
      </c>
      <c r="O84" s="73">
        <v>0</v>
      </c>
      <c r="P84" s="77">
        <v>0</v>
      </c>
      <c r="Q84" s="73">
        <f t="shared" si="34"/>
        <v>446962</v>
      </c>
      <c r="R84" s="103">
        <v>0.25</v>
      </c>
      <c r="S84" s="86">
        <f t="shared" si="29"/>
        <v>111740.5</v>
      </c>
      <c r="T84" s="81"/>
      <c r="U84" s="80">
        <v>0</v>
      </c>
      <c r="V84" s="80">
        <f t="shared" si="35"/>
        <v>111740.5</v>
      </c>
      <c r="W84" s="73">
        <f t="shared" si="18"/>
        <v>335221.5</v>
      </c>
      <c r="X84" s="82" t="s">
        <v>628</v>
      </c>
      <c r="Y84" s="83"/>
      <c r="Z84" s="42"/>
      <c r="AA84" s="40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2"/>
      <c r="BJ84" s="40"/>
      <c r="BK84" s="41"/>
      <c r="BL84" s="45"/>
      <c r="BM84" s="9"/>
      <c r="BN84" s="16"/>
    </row>
    <row r="85" spans="1:66" s="2" customFormat="1" ht="54" x14ac:dyDescent="0.25">
      <c r="A85" s="67">
        <v>73</v>
      </c>
      <c r="B85" s="131"/>
      <c r="C85" s="95" t="s">
        <v>383</v>
      </c>
      <c r="D85" s="148" t="s">
        <v>384</v>
      </c>
      <c r="E85" s="71" t="s">
        <v>348</v>
      </c>
      <c r="F85" s="112" t="s">
        <v>385</v>
      </c>
      <c r="G85" s="73"/>
      <c r="H85" s="84" t="s">
        <v>386</v>
      </c>
      <c r="I85" s="85" t="s">
        <v>185</v>
      </c>
      <c r="J85" s="76" t="s">
        <v>20</v>
      </c>
      <c r="K85" s="76"/>
      <c r="L85" s="77">
        <v>1262085</v>
      </c>
      <c r="M85" s="77">
        <v>224940</v>
      </c>
      <c r="N85" s="77">
        <f t="shared" si="33"/>
        <v>1487025</v>
      </c>
      <c r="O85" s="73">
        <v>0</v>
      </c>
      <c r="P85" s="77">
        <f t="shared" ref="P85:P95" si="37">-N85*10%</f>
        <v>-148702.5</v>
      </c>
      <c r="Q85" s="73">
        <f t="shared" si="34"/>
        <v>1338322.5</v>
      </c>
      <c r="R85" s="103">
        <v>0.25</v>
      </c>
      <c r="S85" s="86">
        <f t="shared" si="29"/>
        <v>315521.25</v>
      </c>
      <c r="T85" s="81"/>
      <c r="U85" s="80">
        <v>0</v>
      </c>
      <c r="V85" s="80">
        <f t="shared" si="35"/>
        <v>315521.25</v>
      </c>
      <c r="W85" s="73">
        <f t="shared" si="18"/>
        <v>1022801.25</v>
      </c>
      <c r="X85" s="82" t="s">
        <v>605</v>
      </c>
      <c r="Y85" s="83"/>
      <c r="Z85" s="42"/>
      <c r="AA85" s="40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2"/>
      <c r="BJ85" s="40"/>
      <c r="BK85" s="41"/>
      <c r="BL85" s="45"/>
      <c r="BM85" s="9"/>
      <c r="BN85" s="16"/>
    </row>
    <row r="86" spans="1:66" s="2" customFormat="1" ht="81" x14ac:dyDescent="0.25">
      <c r="A86" s="67">
        <v>74</v>
      </c>
      <c r="B86" s="131"/>
      <c r="C86" s="95" t="s">
        <v>295</v>
      </c>
      <c r="D86" s="148" t="s">
        <v>387</v>
      </c>
      <c r="E86" s="71" t="s">
        <v>272</v>
      </c>
      <c r="F86" s="112" t="s">
        <v>388</v>
      </c>
      <c r="G86" s="73"/>
      <c r="H86" s="84" t="s">
        <v>389</v>
      </c>
      <c r="I86" s="85" t="s">
        <v>185</v>
      </c>
      <c r="J86" s="76" t="s">
        <v>20</v>
      </c>
      <c r="K86" s="76"/>
      <c r="L86" s="77">
        <v>4504000</v>
      </c>
      <c r="M86" s="77">
        <f>-4504000+1360950+16500</f>
        <v>-3126550</v>
      </c>
      <c r="N86" s="77">
        <f t="shared" si="33"/>
        <v>1377450</v>
      </c>
      <c r="O86" s="73">
        <v>0</v>
      </c>
      <c r="P86" s="77">
        <f t="shared" si="37"/>
        <v>-137745</v>
      </c>
      <c r="Q86" s="73">
        <f t="shared" si="34"/>
        <v>1239705</v>
      </c>
      <c r="R86" s="103">
        <f>40%-15%</f>
        <v>0.25</v>
      </c>
      <c r="S86" s="86">
        <f t="shared" si="29"/>
        <v>1126000</v>
      </c>
      <c r="T86" s="81"/>
      <c r="U86" s="80">
        <v>0</v>
      </c>
      <c r="V86" s="80">
        <f t="shared" si="35"/>
        <v>1126000</v>
      </c>
      <c r="W86" s="73">
        <f t="shared" si="18"/>
        <v>113705</v>
      </c>
      <c r="X86" s="82" t="s">
        <v>605</v>
      </c>
      <c r="Y86" s="83"/>
      <c r="Z86" s="42"/>
      <c r="AA86" s="40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2"/>
      <c r="BJ86" s="40"/>
      <c r="BK86" s="41"/>
      <c r="BL86" s="45"/>
      <c r="BM86" s="9"/>
      <c r="BN86" s="16"/>
    </row>
    <row r="87" spans="1:66" s="2" customFormat="1" ht="54" x14ac:dyDescent="0.25">
      <c r="A87" s="67">
        <v>75</v>
      </c>
      <c r="B87" s="131"/>
      <c r="C87" s="95" t="s">
        <v>390</v>
      </c>
      <c r="D87" s="148" t="s">
        <v>132</v>
      </c>
      <c r="E87" s="155" t="s">
        <v>391</v>
      </c>
      <c r="F87" s="112" t="s">
        <v>392</v>
      </c>
      <c r="G87" s="73"/>
      <c r="H87" s="74" t="s">
        <v>393</v>
      </c>
      <c r="I87" s="85" t="s">
        <v>394</v>
      </c>
      <c r="J87" s="76" t="s">
        <v>20</v>
      </c>
      <c r="K87" s="76"/>
      <c r="L87" s="77">
        <v>4734170</v>
      </c>
      <c r="M87" s="77">
        <v>0</v>
      </c>
      <c r="N87" s="77">
        <f t="shared" si="33"/>
        <v>4734170</v>
      </c>
      <c r="O87" s="73">
        <v>0</v>
      </c>
      <c r="P87" s="77">
        <f t="shared" si="37"/>
        <v>-473417</v>
      </c>
      <c r="Q87" s="73">
        <f t="shared" si="34"/>
        <v>4260753</v>
      </c>
      <c r="R87" s="103">
        <v>0.1</v>
      </c>
      <c r="S87" s="86">
        <f t="shared" si="29"/>
        <v>473417</v>
      </c>
      <c r="T87" s="81"/>
      <c r="U87" s="80">
        <v>0</v>
      </c>
      <c r="V87" s="80">
        <f t="shared" si="35"/>
        <v>473417</v>
      </c>
      <c r="W87" s="73">
        <f t="shared" si="18"/>
        <v>3787336</v>
      </c>
      <c r="X87" s="82" t="s">
        <v>658</v>
      </c>
      <c r="Y87" s="83"/>
      <c r="Z87" s="42"/>
      <c r="AA87" s="40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2"/>
      <c r="BJ87" s="40"/>
      <c r="BK87" s="41"/>
      <c r="BL87" s="45"/>
      <c r="BM87" s="9"/>
      <c r="BN87" s="16"/>
    </row>
    <row r="88" spans="1:66" s="2" customFormat="1" ht="54" x14ac:dyDescent="0.25">
      <c r="A88" s="67">
        <v>76</v>
      </c>
      <c r="B88" s="131"/>
      <c r="C88" s="95" t="s">
        <v>396</v>
      </c>
      <c r="D88" s="70" t="s">
        <v>327</v>
      </c>
      <c r="E88" s="71" t="s">
        <v>328</v>
      </c>
      <c r="F88" s="129" t="s">
        <v>395</v>
      </c>
      <c r="G88" s="73"/>
      <c r="H88" s="74" t="s">
        <v>317</v>
      </c>
      <c r="I88" s="85" t="s">
        <v>141</v>
      </c>
      <c r="J88" s="76" t="s">
        <v>331</v>
      </c>
      <c r="K88" s="76"/>
      <c r="L88" s="73">
        <v>310261247200</v>
      </c>
      <c r="M88" s="73">
        <v>0</v>
      </c>
      <c r="N88" s="78">
        <f t="shared" si="33"/>
        <v>310261247200</v>
      </c>
      <c r="O88" s="73">
        <v>0</v>
      </c>
      <c r="P88" s="77">
        <f t="shared" si="37"/>
        <v>-31026124720</v>
      </c>
      <c r="Q88" s="73">
        <f t="shared" si="34"/>
        <v>279235122480</v>
      </c>
      <c r="R88" s="103">
        <v>0.25</v>
      </c>
      <c r="S88" s="80">
        <f t="shared" si="29"/>
        <v>77565311800</v>
      </c>
      <c r="T88" s="81"/>
      <c r="U88" s="80">
        <v>0</v>
      </c>
      <c r="V88" s="80">
        <f t="shared" si="35"/>
        <v>77565311800</v>
      </c>
      <c r="W88" s="73">
        <f t="shared" si="18"/>
        <v>201669810680</v>
      </c>
      <c r="X88" s="82" t="s">
        <v>584</v>
      </c>
      <c r="Y88" s="83" t="s">
        <v>620</v>
      </c>
      <c r="Z88" s="42"/>
      <c r="AA88" s="40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2"/>
      <c r="BJ88" s="40"/>
      <c r="BK88" s="41"/>
      <c r="BL88" s="45"/>
      <c r="BM88" s="9"/>
      <c r="BN88" s="16"/>
    </row>
    <row r="89" spans="1:66" s="2" customFormat="1" ht="54" x14ac:dyDescent="0.25">
      <c r="A89" s="67">
        <v>77</v>
      </c>
      <c r="B89" s="131"/>
      <c r="C89" s="95" t="s">
        <v>397</v>
      </c>
      <c r="D89" s="148" t="s">
        <v>400</v>
      </c>
      <c r="E89" s="155" t="s">
        <v>399</v>
      </c>
      <c r="F89" s="129" t="s">
        <v>398</v>
      </c>
      <c r="G89" s="73"/>
      <c r="H89" s="74" t="s">
        <v>325</v>
      </c>
      <c r="I89" s="85" t="s">
        <v>185</v>
      </c>
      <c r="J89" s="76" t="s">
        <v>20</v>
      </c>
      <c r="K89" s="76"/>
      <c r="L89" s="77">
        <v>1143013</v>
      </c>
      <c r="M89" s="77">
        <v>0</v>
      </c>
      <c r="N89" s="77">
        <f t="shared" si="33"/>
        <v>1143013</v>
      </c>
      <c r="O89" s="73">
        <v>0</v>
      </c>
      <c r="P89" s="77">
        <f t="shared" si="37"/>
        <v>-114301.3</v>
      </c>
      <c r="Q89" s="73">
        <f t="shared" si="34"/>
        <v>1028711.7</v>
      </c>
      <c r="R89" s="103">
        <v>0.25</v>
      </c>
      <c r="S89" s="86">
        <f t="shared" si="29"/>
        <v>285753.25</v>
      </c>
      <c r="T89" s="81"/>
      <c r="U89" s="80">
        <v>0</v>
      </c>
      <c r="V89" s="80">
        <f t="shared" si="35"/>
        <v>285753.25</v>
      </c>
      <c r="W89" s="73">
        <f t="shared" ref="W89:W121" si="38">Q89-V89</f>
        <v>742958.45</v>
      </c>
      <c r="X89" s="82" t="s">
        <v>609</v>
      </c>
      <c r="Y89" s="83"/>
      <c r="Z89" s="42"/>
      <c r="AA89" s="40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2"/>
      <c r="BJ89" s="40"/>
      <c r="BK89" s="41"/>
      <c r="BL89" s="45"/>
      <c r="BM89" s="9"/>
      <c r="BN89" s="16"/>
    </row>
    <row r="90" spans="1:66" s="2" customFormat="1" ht="54" x14ac:dyDescent="0.25">
      <c r="A90" s="67">
        <v>78</v>
      </c>
      <c r="B90" s="131"/>
      <c r="C90" s="95" t="s">
        <v>401</v>
      </c>
      <c r="D90" s="148" t="s">
        <v>403</v>
      </c>
      <c r="E90" s="71" t="s">
        <v>355</v>
      </c>
      <c r="F90" s="129" t="s">
        <v>402</v>
      </c>
      <c r="G90" s="73"/>
      <c r="H90" s="84" t="s">
        <v>404</v>
      </c>
      <c r="I90" s="85" t="s">
        <v>405</v>
      </c>
      <c r="J90" s="76" t="s">
        <v>20</v>
      </c>
      <c r="K90" s="76"/>
      <c r="L90" s="77">
        <v>895000</v>
      </c>
      <c r="M90" s="77">
        <v>6193.13</v>
      </c>
      <c r="N90" s="77">
        <f t="shared" si="33"/>
        <v>901193.13</v>
      </c>
      <c r="O90" s="73">
        <v>0</v>
      </c>
      <c r="P90" s="77">
        <f t="shared" si="37"/>
        <v>-90119.313000000009</v>
      </c>
      <c r="Q90" s="73">
        <f t="shared" si="34"/>
        <v>811073.81700000004</v>
      </c>
      <c r="R90" s="103">
        <v>0.25</v>
      </c>
      <c r="S90" s="86">
        <f t="shared" si="29"/>
        <v>223750</v>
      </c>
      <c r="T90" s="81"/>
      <c r="U90" s="80">
        <v>0</v>
      </c>
      <c r="V90" s="80">
        <f t="shared" si="35"/>
        <v>223750</v>
      </c>
      <c r="W90" s="73">
        <f t="shared" si="38"/>
        <v>587323.81700000004</v>
      </c>
      <c r="X90" s="82" t="s">
        <v>605</v>
      </c>
      <c r="Y90" s="83" t="s">
        <v>608</v>
      </c>
      <c r="Z90" s="42"/>
      <c r="AA90" s="40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2"/>
      <c r="BJ90" s="40"/>
      <c r="BK90" s="41"/>
      <c r="BL90" s="45"/>
      <c r="BM90" s="9"/>
      <c r="BN90" s="16"/>
    </row>
    <row r="91" spans="1:66" s="2" customFormat="1" ht="81" x14ac:dyDescent="0.25">
      <c r="A91" s="67">
        <v>79</v>
      </c>
      <c r="B91" s="131"/>
      <c r="C91" s="95" t="s">
        <v>406</v>
      </c>
      <c r="D91" s="148" t="s">
        <v>407</v>
      </c>
      <c r="E91" s="155" t="s">
        <v>304</v>
      </c>
      <c r="F91" s="129" t="s">
        <v>34</v>
      </c>
      <c r="G91" s="73"/>
      <c r="H91" s="74" t="s">
        <v>410</v>
      </c>
      <c r="I91" s="85" t="s">
        <v>409</v>
      </c>
      <c r="J91" s="76" t="s">
        <v>20</v>
      </c>
      <c r="K91" s="76"/>
      <c r="L91" s="77">
        <v>5959200</v>
      </c>
      <c r="M91" s="77">
        <f>-5959200+1360950-1360950+4475589+2685353.4</f>
        <v>1201742.3999999999</v>
      </c>
      <c r="N91" s="77">
        <f t="shared" si="33"/>
        <v>7160942.4000000004</v>
      </c>
      <c r="O91" s="73">
        <v>0</v>
      </c>
      <c r="P91" s="77">
        <f t="shared" si="37"/>
        <v>-716094.24000000011</v>
      </c>
      <c r="Q91" s="73">
        <f t="shared" si="34"/>
        <v>6444848.1600000001</v>
      </c>
      <c r="R91" s="103">
        <v>0.25</v>
      </c>
      <c r="S91" s="86">
        <f t="shared" si="29"/>
        <v>1489800</v>
      </c>
      <c r="T91" s="81"/>
      <c r="U91" s="80">
        <v>0</v>
      </c>
      <c r="V91" s="80">
        <f t="shared" si="35"/>
        <v>1489800</v>
      </c>
      <c r="W91" s="73">
        <f t="shared" si="38"/>
        <v>4955048.16</v>
      </c>
      <c r="X91" s="82" t="s">
        <v>609</v>
      </c>
      <c r="Y91" s="83" t="s">
        <v>619</v>
      </c>
      <c r="Z91" s="42"/>
      <c r="AA91" s="40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2"/>
      <c r="BJ91" s="40"/>
      <c r="BK91" s="41"/>
      <c r="BL91" s="45"/>
      <c r="BM91" s="9"/>
      <c r="BN91" s="16"/>
    </row>
    <row r="92" spans="1:66" s="2" customFormat="1" ht="81" x14ac:dyDescent="0.25">
      <c r="A92" s="67">
        <v>80</v>
      </c>
      <c r="B92" s="131"/>
      <c r="C92" s="95" t="s">
        <v>411</v>
      </c>
      <c r="D92" s="148" t="s">
        <v>413</v>
      </c>
      <c r="E92" s="71" t="s">
        <v>412</v>
      </c>
      <c r="F92" s="129" t="s">
        <v>414</v>
      </c>
      <c r="G92" s="73"/>
      <c r="H92" s="84" t="s">
        <v>415</v>
      </c>
      <c r="I92" s="85" t="s">
        <v>185</v>
      </c>
      <c r="J92" s="76" t="s">
        <v>20</v>
      </c>
      <c r="K92" s="76"/>
      <c r="L92" s="77">
        <v>403254</v>
      </c>
      <c r="M92" s="77">
        <v>-136104</v>
      </c>
      <c r="N92" s="77">
        <f t="shared" si="33"/>
        <v>267150</v>
      </c>
      <c r="O92" s="73">
        <v>0</v>
      </c>
      <c r="P92" s="77">
        <f t="shared" si="37"/>
        <v>-26715</v>
      </c>
      <c r="Q92" s="73">
        <f t="shared" si="34"/>
        <v>240435</v>
      </c>
      <c r="R92" s="103">
        <v>0.25</v>
      </c>
      <c r="S92" s="86">
        <f t="shared" si="29"/>
        <v>100813.5</v>
      </c>
      <c r="T92" s="81"/>
      <c r="U92" s="80">
        <v>0</v>
      </c>
      <c r="V92" s="80">
        <f t="shared" si="35"/>
        <v>100813.5</v>
      </c>
      <c r="W92" s="73">
        <f t="shared" si="38"/>
        <v>139621.5</v>
      </c>
      <c r="X92" s="87" t="s">
        <v>622</v>
      </c>
      <c r="Y92" s="83"/>
      <c r="Z92" s="42"/>
      <c r="AA92" s="40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2"/>
      <c r="BJ92" s="40"/>
      <c r="BK92" s="41"/>
      <c r="BL92" s="45"/>
      <c r="BM92" s="9"/>
      <c r="BN92" s="16"/>
    </row>
    <row r="93" spans="1:66" s="2" customFormat="1" ht="54" x14ac:dyDescent="0.25">
      <c r="A93" s="67">
        <v>81</v>
      </c>
      <c r="B93" s="131"/>
      <c r="C93" s="95" t="s">
        <v>417</v>
      </c>
      <c r="D93" s="148" t="s">
        <v>418</v>
      </c>
      <c r="E93" s="71" t="s">
        <v>272</v>
      </c>
      <c r="F93" s="129" t="s">
        <v>416</v>
      </c>
      <c r="G93" s="73"/>
      <c r="H93" s="84" t="s">
        <v>408</v>
      </c>
      <c r="I93" s="85" t="s">
        <v>185</v>
      </c>
      <c r="J93" s="76" t="s">
        <v>20</v>
      </c>
      <c r="K93" s="76"/>
      <c r="L93" s="77">
        <v>9800000</v>
      </c>
      <c r="M93" s="77">
        <v>0</v>
      </c>
      <c r="N93" s="77">
        <f t="shared" si="33"/>
        <v>9800000</v>
      </c>
      <c r="O93" s="73">
        <v>0</v>
      </c>
      <c r="P93" s="77">
        <f t="shared" si="37"/>
        <v>-980000</v>
      </c>
      <c r="Q93" s="73">
        <f t="shared" si="34"/>
        <v>8820000</v>
      </c>
      <c r="R93" s="103">
        <v>0.25</v>
      </c>
      <c r="S93" s="86">
        <f t="shared" si="29"/>
        <v>2450000</v>
      </c>
      <c r="T93" s="81"/>
      <c r="U93" s="80">
        <v>0</v>
      </c>
      <c r="V93" s="80">
        <f t="shared" si="35"/>
        <v>2450000</v>
      </c>
      <c r="W93" s="73">
        <f t="shared" si="38"/>
        <v>6370000</v>
      </c>
      <c r="X93" s="82" t="s">
        <v>605</v>
      </c>
      <c r="Y93" s="83"/>
      <c r="Z93" s="42"/>
      <c r="AA93" s="40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2"/>
      <c r="BJ93" s="40"/>
      <c r="BK93" s="41"/>
      <c r="BL93" s="45"/>
      <c r="BM93" s="9"/>
      <c r="BN93" s="16"/>
    </row>
    <row r="94" spans="1:66" s="2" customFormat="1" ht="81" x14ac:dyDescent="0.25">
      <c r="A94" s="67">
        <v>82</v>
      </c>
      <c r="B94" s="131"/>
      <c r="C94" s="95" t="s">
        <v>299</v>
      </c>
      <c r="D94" s="148" t="s">
        <v>421</v>
      </c>
      <c r="E94" s="71" t="s">
        <v>420</v>
      </c>
      <c r="F94" s="129" t="s">
        <v>419</v>
      </c>
      <c r="G94" s="73"/>
      <c r="H94" s="84" t="s">
        <v>422</v>
      </c>
      <c r="I94" s="85" t="s">
        <v>185</v>
      </c>
      <c r="J94" s="76" t="s">
        <v>20</v>
      </c>
      <c r="K94" s="76"/>
      <c r="L94" s="77">
        <v>928526</v>
      </c>
      <c r="M94" s="77">
        <f>658000+6474</f>
        <v>664474</v>
      </c>
      <c r="N94" s="77">
        <f t="shared" si="33"/>
        <v>1593000</v>
      </c>
      <c r="O94" s="73">
        <v>0</v>
      </c>
      <c r="P94" s="77">
        <f t="shared" si="37"/>
        <v>-159300</v>
      </c>
      <c r="Q94" s="73">
        <f t="shared" si="34"/>
        <v>1433700</v>
      </c>
      <c r="R94" s="103">
        <v>0.25</v>
      </c>
      <c r="S94" s="86">
        <f t="shared" si="29"/>
        <v>232131.5</v>
      </c>
      <c r="T94" s="81"/>
      <c r="U94" s="80">
        <v>0</v>
      </c>
      <c r="V94" s="80">
        <f t="shared" si="35"/>
        <v>232131.5</v>
      </c>
      <c r="W94" s="73">
        <f t="shared" si="38"/>
        <v>1201568.5</v>
      </c>
      <c r="X94" s="82" t="s">
        <v>605</v>
      </c>
      <c r="Y94" s="83"/>
      <c r="Z94" s="42"/>
      <c r="AA94" s="40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2"/>
      <c r="BJ94" s="40"/>
      <c r="BK94" s="41"/>
      <c r="BL94" s="45"/>
      <c r="BM94" s="9"/>
      <c r="BN94" s="16"/>
    </row>
    <row r="95" spans="1:66" s="2" customFormat="1" ht="54" x14ac:dyDescent="0.25">
      <c r="A95" s="67">
        <v>83</v>
      </c>
      <c r="B95" s="131"/>
      <c r="C95" s="95" t="s">
        <v>423</v>
      </c>
      <c r="D95" s="148" t="s">
        <v>424</v>
      </c>
      <c r="E95" s="71" t="s">
        <v>241</v>
      </c>
      <c r="F95" s="129" t="s">
        <v>425</v>
      </c>
      <c r="G95" s="87"/>
      <c r="H95" s="74" t="s">
        <v>426</v>
      </c>
      <c r="I95" s="85" t="s">
        <v>427</v>
      </c>
      <c r="J95" s="76" t="s">
        <v>20</v>
      </c>
      <c r="K95" s="76"/>
      <c r="L95" s="77">
        <v>392013.12</v>
      </c>
      <c r="M95" s="77">
        <v>0</v>
      </c>
      <c r="N95" s="77">
        <f t="shared" si="33"/>
        <v>392013.12</v>
      </c>
      <c r="O95" s="73">
        <v>0</v>
      </c>
      <c r="P95" s="77">
        <f t="shared" si="37"/>
        <v>-39201.311999999998</v>
      </c>
      <c r="Q95" s="73">
        <f t="shared" si="34"/>
        <v>352811.80800000002</v>
      </c>
      <c r="R95" s="103">
        <v>0.15</v>
      </c>
      <c r="S95" s="86">
        <f t="shared" si="29"/>
        <v>58801.968000000001</v>
      </c>
      <c r="T95" s="81"/>
      <c r="U95" s="80">
        <v>0</v>
      </c>
      <c r="V95" s="80">
        <f t="shared" si="35"/>
        <v>58801.968000000001</v>
      </c>
      <c r="W95" s="73">
        <f t="shared" si="38"/>
        <v>294009.84000000003</v>
      </c>
      <c r="X95" s="82" t="s">
        <v>609</v>
      </c>
      <c r="Y95" s="83"/>
      <c r="Z95" s="42"/>
      <c r="AA95" s="40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2"/>
      <c r="BJ95" s="40"/>
      <c r="BK95" s="41"/>
      <c r="BL95" s="45"/>
      <c r="BM95" s="9"/>
      <c r="BN95" s="16"/>
    </row>
    <row r="96" spans="1:66" s="2" customFormat="1" ht="54" x14ac:dyDescent="0.25">
      <c r="A96" s="67">
        <v>84</v>
      </c>
      <c r="B96" s="131"/>
      <c r="C96" s="95" t="s">
        <v>428</v>
      </c>
      <c r="D96" s="148" t="s">
        <v>429</v>
      </c>
      <c r="E96" s="155" t="s">
        <v>430</v>
      </c>
      <c r="F96" s="129" t="s">
        <v>431</v>
      </c>
      <c r="G96" s="73"/>
      <c r="H96" s="74" t="s">
        <v>432</v>
      </c>
      <c r="I96" s="85" t="s">
        <v>185</v>
      </c>
      <c r="J96" s="76" t="s">
        <v>20</v>
      </c>
      <c r="K96" s="76"/>
      <c r="L96" s="77">
        <v>993075</v>
      </c>
      <c r="M96" s="77">
        <v>0</v>
      </c>
      <c r="N96" s="77">
        <f t="shared" si="33"/>
        <v>993075</v>
      </c>
      <c r="O96" s="73">
        <v>0</v>
      </c>
      <c r="P96" s="77">
        <v>0</v>
      </c>
      <c r="Q96" s="73">
        <f t="shared" si="34"/>
        <v>993075</v>
      </c>
      <c r="R96" s="103">
        <v>1</v>
      </c>
      <c r="S96" s="86">
        <f t="shared" si="29"/>
        <v>993075</v>
      </c>
      <c r="T96" s="81"/>
      <c r="U96" s="80">
        <v>0</v>
      </c>
      <c r="V96" s="80">
        <f t="shared" si="35"/>
        <v>993075</v>
      </c>
      <c r="W96" s="73">
        <f t="shared" si="38"/>
        <v>0</v>
      </c>
      <c r="X96" s="82" t="s">
        <v>625</v>
      </c>
      <c r="Y96" s="83"/>
      <c r="Z96" s="42"/>
      <c r="AA96" s="40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2"/>
      <c r="BJ96" s="40"/>
      <c r="BK96" s="41"/>
      <c r="BL96" s="45"/>
      <c r="BM96" s="9"/>
      <c r="BN96" s="16"/>
    </row>
    <row r="97" spans="1:66" s="2" customFormat="1" ht="54" x14ac:dyDescent="0.25">
      <c r="A97" s="67">
        <v>85</v>
      </c>
      <c r="B97" s="131"/>
      <c r="C97" s="95" t="s">
        <v>296</v>
      </c>
      <c r="D97" s="148" t="s">
        <v>433</v>
      </c>
      <c r="E97" s="71" t="s">
        <v>434</v>
      </c>
      <c r="F97" s="129" t="s">
        <v>435</v>
      </c>
      <c r="G97" s="73"/>
      <c r="H97" s="74" t="s">
        <v>436</v>
      </c>
      <c r="I97" s="85" t="s">
        <v>185</v>
      </c>
      <c r="J97" s="76" t="s">
        <v>331</v>
      </c>
      <c r="K97" s="76"/>
      <c r="L97" s="73">
        <v>6097388000</v>
      </c>
      <c r="M97" s="73">
        <v>0</v>
      </c>
      <c r="N97" s="78">
        <f t="shared" si="33"/>
        <v>6097388000</v>
      </c>
      <c r="O97" s="73">
        <v>0</v>
      </c>
      <c r="P97" s="77">
        <v>0</v>
      </c>
      <c r="Q97" s="73">
        <f t="shared" si="34"/>
        <v>6097388000</v>
      </c>
      <c r="R97" s="103">
        <v>0.25</v>
      </c>
      <c r="S97" s="80">
        <f t="shared" si="29"/>
        <v>1524347000</v>
      </c>
      <c r="T97" s="81"/>
      <c r="U97" s="80">
        <v>0</v>
      </c>
      <c r="V97" s="80">
        <f t="shared" si="35"/>
        <v>1524347000</v>
      </c>
      <c r="W97" s="73">
        <f t="shared" si="38"/>
        <v>4573041000</v>
      </c>
      <c r="X97" s="82" t="s">
        <v>586</v>
      </c>
      <c r="Y97" s="83"/>
      <c r="Z97" s="42"/>
      <c r="AA97" s="40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2"/>
      <c r="BJ97" s="40"/>
      <c r="BK97" s="41"/>
      <c r="BL97" s="45"/>
      <c r="BM97" s="9"/>
      <c r="BN97" s="16"/>
    </row>
    <row r="98" spans="1:66" s="2" customFormat="1" ht="54" x14ac:dyDescent="0.25">
      <c r="A98" s="67">
        <v>86</v>
      </c>
      <c r="B98" s="131"/>
      <c r="C98" s="95" t="s">
        <v>437</v>
      </c>
      <c r="D98" s="148" t="s">
        <v>443</v>
      </c>
      <c r="E98" s="71" t="s">
        <v>438</v>
      </c>
      <c r="F98" s="129" t="s">
        <v>439</v>
      </c>
      <c r="G98" s="73"/>
      <c r="H98" s="74" t="s">
        <v>440</v>
      </c>
      <c r="I98" s="85" t="s">
        <v>110</v>
      </c>
      <c r="J98" s="76" t="s">
        <v>20</v>
      </c>
      <c r="K98" s="76"/>
      <c r="L98" s="77">
        <v>3841202</v>
      </c>
      <c r="M98" s="77">
        <v>0</v>
      </c>
      <c r="N98" s="77">
        <f t="shared" si="33"/>
        <v>3841202</v>
      </c>
      <c r="O98" s="73">
        <v>0</v>
      </c>
      <c r="P98" s="77">
        <f>-N98*10%</f>
        <v>-384120.2</v>
      </c>
      <c r="Q98" s="73">
        <f t="shared" si="34"/>
        <v>3457081.8</v>
      </c>
      <c r="R98" s="103">
        <v>0.9</v>
      </c>
      <c r="S98" s="86">
        <f t="shared" si="29"/>
        <v>3457081.8000000003</v>
      </c>
      <c r="T98" s="81"/>
      <c r="U98" s="80">
        <v>0</v>
      </c>
      <c r="V98" s="80">
        <f t="shared" si="35"/>
        <v>3457081.8000000003</v>
      </c>
      <c r="W98" s="73">
        <f t="shared" si="38"/>
        <v>0</v>
      </c>
      <c r="X98" s="82" t="s">
        <v>624</v>
      </c>
      <c r="Y98" s="83"/>
      <c r="Z98" s="42"/>
      <c r="AA98" s="40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2"/>
      <c r="BJ98" s="40"/>
      <c r="BK98" s="41"/>
      <c r="BL98" s="45"/>
      <c r="BM98" s="9"/>
      <c r="BN98" s="16"/>
    </row>
    <row r="99" spans="1:66" s="2" customFormat="1" ht="54" x14ac:dyDescent="0.25">
      <c r="A99" s="67">
        <v>87</v>
      </c>
      <c r="B99" s="131"/>
      <c r="C99" s="95" t="s">
        <v>441</v>
      </c>
      <c r="D99" s="148" t="s">
        <v>444</v>
      </c>
      <c r="E99" s="154" t="s">
        <v>442</v>
      </c>
      <c r="F99" s="129" t="s">
        <v>439</v>
      </c>
      <c r="G99" s="73"/>
      <c r="H99" s="74" t="s">
        <v>445</v>
      </c>
      <c r="I99" s="85" t="s">
        <v>446</v>
      </c>
      <c r="J99" s="76" t="s">
        <v>20</v>
      </c>
      <c r="K99" s="76" t="s">
        <v>117</v>
      </c>
      <c r="L99" s="77">
        <v>3035600</v>
      </c>
      <c r="M99" s="77">
        <v>0</v>
      </c>
      <c r="N99" s="77">
        <f t="shared" si="33"/>
        <v>3035600</v>
      </c>
      <c r="O99" s="73">
        <v>0</v>
      </c>
      <c r="P99" s="77">
        <f>-N99*10%</f>
        <v>-303560</v>
      </c>
      <c r="Q99" s="73">
        <f t="shared" si="34"/>
        <v>2732040</v>
      </c>
      <c r="R99" s="103">
        <v>0.9</v>
      </c>
      <c r="S99" s="86">
        <v>0</v>
      </c>
      <c r="T99" s="81"/>
      <c r="U99" s="80">
        <f>521738.83+159643.56+2586021.41+1198409.04+1898964+1066551.75+852513.41+186374.19+484572.88</f>
        <v>8954789.0700000003</v>
      </c>
      <c r="V99" s="80">
        <f t="shared" si="35"/>
        <v>8954789.0700000003</v>
      </c>
      <c r="W99" s="73">
        <f t="shared" si="38"/>
        <v>-6222749.0700000003</v>
      </c>
      <c r="X99" s="87" t="s">
        <v>622</v>
      </c>
      <c r="Y99" s="83"/>
      <c r="Z99" s="42"/>
      <c r="AA99" s="40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2"/>
      <c r="BJ99" s="40"/>
      <c r="BK99" s="41"/>
      <c r="BL99" s="45"/>
      <c r="BM99" s="9"/>
      <c r="BN99" s="16"/>
    </row>
    <row r="100" spans="1:66" s="2" customFormat="1" ht="54" x14ac:dyDescent="0.25">
      <c r="A100" s="67">
        <v>88</v>
      </c>
      <c r="B100" s="131"/>
      <c r="C100" s="95" t="s">
        <v>448</v>
      </c>
      <c r="D100" s="148" t="s">
        <v>433</v>
      </c>
      <c r="E100" s="71" t="s">
        <v>434</v>
      </c>
      <c r="F100" s="129" t="s">
        <v>447</v>
      </c>
      <c r="G100" s="73"/>
      <c r="H100" s="74" t="s">
        <v>449</v>
      </c>
      <c r="I100" s="85" t="s">
        <v>185</v>
      </c>
      <c r="J100" s="76" t="s">
        <v>331</v>
      </c>
      <c r="K100" s="76"/>
      <c r="L100" s="73">
        <v>10505912000</v>
      </c>
      <c r="M100" s="73">
        <v>0</v>
      </c>
      <c r="N100" s="78">
        <f t="shared" si="33"/>
        <v>10505912000</v>
      </c>
      <c r="O100" s="73">
        <v>0</v>
      </c>
      <c r="P100" s="77">
        <v>0</v>
      </c>
      <c r="Q100" s="73">
        <f t="shared" si="34"/>
        <v>10505912000</v>
      </c>
      <c r="R100" s="103">
        <v>0.25</v>
      </c>
      <c r="S100" s="80">
        <f t="shared" si="29"/>
        <v>2626478000</v>
      </c>
      <c r="T100" s="81"/>
      <c r="U100" s="80">
        <v>0</v>
      </c>
      <c r="V100" s="80">
        <f t="shared" si="35"/>
        <v>2626478000</v>
      </c>
      <c r="W100" s="73">
        <f t="shared" si="38"/>
        <v>7879434000</v>
      </c>
      <c r="X100" s="82" t="s">
        <v>586</v>
      </c>
      <c r="Y100" s="83" t="s">
        <v>534</v>
      </c>
      <c r="Z100" s="42"/>
      <c r="AA100" s="40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2"/>
      <c r="BJ100" s="40"/>
      <c r="BK100" s="41"/>
      <c r="BL100" s="45"/>
      <c r="BM100" s="9"/>
      <c r="BN100" s="16"/>
    </row>
    <row r="101" spans="1:66" s="2" customFormat="1" ht="108" x14ac:dyDescent="0.25">
      <c r="A101" s="67">
        <v>89</v>
      </c>
      <c r="B101" s="131"/>
      <c r="C101" s="95" t="s">
        <v>450</v>
      </c>
      <c r="D101" s="148" t="s">
        <v>454</v>
      </c>
      <c r="E101" s="71" t="s">
        <v>451</v>
      </c>
      <c r="F101" s="129" t="s">
        <v>452</v>
      </c>
      <c r="G101" s="73" t="s">
        <v>452</v>
      </c>
      <c r="H101" s="74" t="s">
        <v>455</v>
      </c>
      <c r="I101" s="85" t="s">
        <v>185</v>
      </c>
      <c r="J101" s="76" t="s">
        <v>20</v>
      </c>
      <c r="K101" s="76" t="s">
        <v>117</v>
      </c>
      <c r="L101" s="77">
        <v>1797980</v>
      </c>
      <c r="M101" s="77">
        <f>-139350+82600+450000+152100</f>
        <v>545350</v>
      </c>
      <c r="N101" s="77">
        <f t="shared" si="33"/>
        <v>2343330</v>
      </c>
      <c r="O101" s="73">
        <v>0</v>
      </c>
      <c r="P101" s="77">
        <f>-N101*10%</f>
        <v>-234333</v>
      </c>
      <c r="Q101" s="73">
        <f t="shared" si="34"/>
        <v>2108997</v>
      </c>
      <c r="R101" s="103">
        <v>0.25</v>
      </c>
      <c r="S101" s="86">
        <f t="shared" si="29"/>
        <v>449495</v>
      </c>
      <c r="T101" s="81"/>
      <c r="U101" s="80">
        <v>0</v>
      </c>
      <c r="V101" s="80">
        <f t="shared" si="35"/>
        <v>449495</v>
      </c>
      <c r="W101" s="73">
        <f t="shared" si="38"/>
        <v>1659502</v>
      </c>
      <c r="X101" s="82" t="s">
        <v>605</v>
      </c>
      <c r="Y101" s="83"/>
      <c r="Z101" s="42"/>
      <c r="AA101" s="40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2"/>
      <c r="BJ101" s="40"/>
      <c r="BK101" s="41"/>
      <c r="BL101" s="45"/>
      <c r="BM101" s="9"/>
      <c r="BN101" s="16"/>
    </row>
    <row r="102" spans="1:66" s="2" customFormat="1" ht="54" x14ac:dyDescent="0.25">
      <c r="A102" s="67">
        <v>90</v>
      </c>
      <c r="B102" s="131"/>
      <c r="C102" s="95" t="s">
        <v>456</v>
      </c>
      <c r="D102" s="148" t="s">
        <v>458</v>
      </c>
      <c r="E102" s="71" t="s">
        <v>457</v>
      </c>
      <c r="F102" s="129" t="s">
        <v>459</v>
      </c>
      <c r="G102" s="73" t="s">
        <v>533</v>
      </c>
      <c r="H102" s="74" t="s">
        <v>460</v>
      </c>
      <c r="I102" s="85" t="s">
        <v>185</v>
      </c>
      <c r="J102" s="76" t="s">
        <v>331</v>
      </c>
      <c r="K102" s="76" t="s">
        <v>119</v>
      </c>
      <c r="L102" s="73">
        <v>49000000000</v>
      </c>
      <c r="M102" s="78">
        <f>-14500000000</f>
        <v>-14500000000</v>
      </c>
      <c r="N102" s="78">
        <f t="shared" si="33"/>
        <v>34500000000</v>
      </c>
      <c r="O102" s="73">
        <v>0</v>
      </c>
      <c r="P102" s="77">
        <v>0</v>
      </c>
      <c r="Q102" s="73">
        <f t="shared" si="34"/>
        <v>34500000000</v>
      </c>
      <c r="R102" s="103">
        <v>0.5</v>
      </c>
      <c r="S102" s="80">
        <f>N102*R102</f>
        <v>17250000000</v>
      </c>
      <c r="T102" s="81"/>
      <c r="U102" s="80">
        <v>0</v>
      </c>
      <c r="V102" s="80">
        <f t="shared" ref="V102:V121" si="39">U102+S102</f>
        <v>17250000000</v>
      </c>
      <c r="W102" s="73">
        <f t="shared" si="38"/>
        <v>17250000000</v>
      </c>
      <c r="X102" s="82" t="s">
        <v>605</v>
      </c>
      <c r="Y102" s="83"/>
      <c r="Z102" s="42"/>
      <c r="AA102" s="40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2"/>
      <c r="BJ102" s="40"/>
      <c r="BK102" s="41"/>
      <c r="BL102" s="45"/>
      <c r="BM102" s="9"/>
      <c r="BN102" s="16"/>
    </row>
    <row r="103" spans="1:66" s="2" customFormat="1" ht="81" x14ac:dyDescent="0.25">
      <c r="A103" s="67">
        <v>91</v>
      </c>
      <c r="B103" s="131"/>
      <c r="C103" s="95" t="s">
        <v>461</v>
      </c>
      <c r="D103" s="148" t="s">
        <v>464</v>
      </c>
      <c r="E103" s="71" t="s">
        <v>18</v>
      </c>
      <c r="F103" s="129" t="s">
        <v>462</v>
      </c>
      <c r="G103" s="73" t="s">
        <v>532</v>
      </c>
      <c r="H103" s="74" t="s">
        <v>382</v>
      </c>
      <c r="I103" s="85" t="s">
        <v>463</v>
      </c>
      <c r="J103" s="76" t="s">
        <v>20</v>
      </c>
      <c r="K103" s="76" t="s">
        <v>117</v>
      </c>
      <c r="L103" s="77">
        <v>830900</v>
      </c>
      <c r="M103" s="77">
        <f>-19131.8-9710-2112</f>
        <v>-30953.8</v>
      </c>
      <c r="N103" s="77">
        <f t="shared" si="33"/>
        <v>799946.2</v>
      </c>
      <c r="O103" s="73">
        <v>0</v>
      </c>
      <c r="P103" s="77">
        <f t="shared" ref="P103:P121" si="40">-N103*10%</f>
        <v>-79994.62</v>
      </c>
      <c r="Q103" s="73">
        <f t="shared" si="34"/>
        <v>719951.58</v>
      </c>
      <c r="R103" s="103">
        <v>0.25</v>
      </c>
      <c r="S103" s="86">
        <f t="shared" si="29"/>
        <v>207725</v>
      </c>
      <c r="T103" s="81"/>
      <c r="U103" s="80">
        <v>0</v>
      </c>
      <c r="V103" s="80">
        <f t="shared" si="39"/>
        <v>207725</v>
      </c>
      <c r="W103" s="73">
        <f t="shared" si="38"/>
        <v>512226.57999999996</v>
      </c>
      <c r="X103" s="82" t="s">
        <v>609</v>
      </c>
      <c r="Y103" s="83" t="s">
        <v>608</v>
      </c>
      <c r="Z103" s="42"/>
      <c r="AA103" s="40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2"/>
      <c r="BJ103" s="40"/>
      <c r="BK103" s="41"/>
      <c r="BL103" s="45"/>
      <c r="BM103" s="9"/>
      <c r="BN103" s="16"/>
    </row>
    <row r="104" spans="1:66" s="2" customFormat="1" ht="54" x14ac:dyDescent="0.25">
      <c r="A104" s="67">
        <v>92</v>
      </c>
      <c r="B104" s="131"/>
      <c r="C104" s="95" t="s">
        <v>465</v>
      </c>
      <c r="D104" s="148" t="s">
        <v>466</v>
      </c>
      <c r="E104" s="155" t="s">
        <v>219</v>
      </c>
      <c r="F104" s="129" t="s">
        <v>467</v>
      </c>
      <c r="G104" s="73" t="s">
        <v>527</v>
      </c>
      <c r="H104" s="84" t="s">
        <v>468</v>
      </c>
      <c r="I104" s="85" t="s">
        <v>185</v>
      </c>
      <c r="J104" s="76" t="s">
        <v>20</v>
      </c>
      <c r="K104" s="76" t="s">
        <v>528</v>
      </c>
      <c r="L104" s="77">
        <v>500284</v>
      </c>
      <c r="M104" s="77">
        <v>25320</v>
      </c>
      <c r="N104" s="77">
        <f t="shared" si="33"/>
        <v>525604</v>
      </c>
      <c r="O104" s="73">
        <v>0</v>
      </c>
      <c r="P104" s="77">
        <f t="shared" si="40"/>
        <v>-52560.4</v>
      </c>
      <c r="Q104" s="73">
        <f t="shared" si="34"/>
        <v>473043.6</v>
      </c>
      <c r="R104" s="103">
        <v>0.25</v>
      </c>
      <c r="S104" s="86">
        <f t="shared" si="29"/>
        <v>125071</v>
      </c>
      <c r="T104" s="81"/>
      <c r="U104" s="80">
        <v>0</v>
      </c>
      <c r="V104" s="80">
        <f t="shared" si="39"/>
        <v>125071</v>
      </c>
      <c r="W104" s="73">
        <f t="shared" si="38"/>
        <v>347972.6</v>
      </c>
      <c r="X104" s="82" t="s">
        <v>615</v>
      </c>
      <c r="Y104" s="83"/>
      <c r="Z104" s="42"/>
      <c r="AA104" s="40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2"/>
      <c r="BJ104" s="40"/>
      <c r="BK104" s="41"/>
      <c r="BL104" s="45"/>
      <c r="BM104" s="9"/>
      <c r="BN104" s="16"/>
    </row>
    <row r="105" spans="1:66" s="2" customFormat="1" ht="54" x14ac:dyDescent="0.25">
      <c r="A105" s="67">
        <v>93</v>
      </c>
      <c r="B105" s="131"/>
      <c r="C105" s="95" t="s">
        <v>469</v>
      </c>
      <c r="D105" s="148" t="s">
        <v>153</v>
      </c>
      <c r="E105" s="96" t="s">
        <v>235</v>
      </c>
      <c r="F105" s="129" t="s">
        <v>470</v>
      </c>
      <c r="G105" s="73" t="s">
        <v>531</v>
      </c>
      <c r="H105" s="74" t="s">
        <v>471</v>
      </c>
      <c r="I105" s="85" t="s">
        <v>185</v>
      </c>
      <c r="J105" s="76" t="s">
        <v>20</v>
      </c>
      <c r="K105" s="76" t="s">
        <v>117</v>
      </c>
      <c r="L105" s="77">
        <v>3446100</v>
      </c>
      <c r="M105" s="77">
        <f>65000+2662000+580000</f>
        <v>3307000</v>
      </c>
      <c r="N105" s="77">
        <f t="shared" si="33"/>
        <v>6753100</v>
      </c>
      <c r="O105" s="73">
        <v>0</v>
      </c>
      <c r="P105" s="77">
        <f t="shared" si="40"/>
        <v>-675310</v>
      </c>
      <c r="Q105" s="73">
        <f t="shared" si="34"/>
        <v>6077790</v>
      </c>
      <c r="R105" s="103">
        <v>0.25</v>
      </c>
      <c r="S105" s="86">
        <f t="shared" si="29"/>
        <v>861525</v>
      </c>
      <c r="T105" s="81"/>
      <c r="U105" s="80">
        <v>0</v>
      </c>
      <c r="V105" s="80">
        <f t="shared" si="39"/>
        <v>861525</v>
      </c>
      <c r="W105" s="73">
        <f t="shared" si="38"/>
        <v>5216265</v>
      </c>
      <c r="X105" s="82" t="s">
        <v>584</v>
      </c>
      <c r="Y105" s="83" t="s">
        <v>608</v>
      </c>
      <c r="Z105" s="42"/>
      <c r="AA105" s="40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2"/>
      <c r="BJ105" s="40"/>
      <c r="BK105" s="41"/>
      <c r="BL105" s="45"/>
      <c r="BM105" s="9"/>
      <c r="BN105" s="16"/>
    </row>
    <row r="106" spans="1:66" s="2" customFormat="1" ht="81" x14ac:dyDescent="0.25">
      <c r="A106" s="67">
        <v>94</v>
      </c>
      <c r="B106" s="131"/>
      <c r="C106" s="95" t="s">
        <v>472</v>
      </c>
      <c r="D106" s="148" t="s">
        <v>473</v>
      </c>
      <c r="E106" s="71" t="s">
        <v>474</v>
      </c>
      <c r="F106" s="129" t="s">
        <v>24</v>
      </c>
      <c r="G106" s="73" t="s">
        <v>531</v>
      </c>
      <c r="H106" s="74" t="s">
        <v>475</v>
      </c>
      <c r="I106" s="85" t="s">
        <v>185</v>
      </c>
      <c r="J106" s="76" t="s">
        <v>20</v>
      </c>
      <c r="K106" s="76" t="s">
        <v>117</v>
      </c>
      <c r="L106" s="77">
        <v>491484</v>
      </c>
      <c r="M106" s="77">
        <f>29367+98271+17065</f>
        <v>144703</v>
      </c>
      <c r="N106" s="77">
        <f t="shared" si="33"/>
        <v>636187</v>
      </c>
      <c r="O106" s="73">
        <v>0</v>
      </c>
      <c r="P106" s="77">
        <f t="shared" si="40"/>
        <v>-63618.700000000004</v>
      </c>
      <c r="Q106" s="73">
        <f t="shared" si="34"/>
        <v>572568.30000000005</v>
      </c>
      <c r="R106" s="103">
        <v>0.25</v>
      </c>
      <c r="S106" s="86">
        <f t="shared" si="29"/>
        <v>122871</v>
      </c>
      <c r="T106" s="81"/>
      <c r="U106" s="80">
        <v>0</v>
      </c>
      <c r="V106" s="80">
        <f t="shared" si="39"/>
        <v>122871</v>
      </c>
      <c r="W106" s="73">
        <f t="shared" si="38"/>
        <v>449697.30000000005</v>
      </c>
      <c r="X106" s="82" t="s">
        <v>626</v>
      </c>
      <c r="Y106" s="83" t="s">
        <v>608</v>
      </c>
      <c r="Z106" s="42"/>
      <c r="AA106" s="40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2"/>
      <c r="BJ106" s="40"/>
      <c r="BK106" s="41"/>
      <c r="BL106" s="45"/>
      <c r="BM106" s="9"/>
      <c r="BN106" s="16"/>
    </row>
    <row r="107" spans="1:66" s="2" customFormat="1" ht="54" x14ac:dyDescent="0.25">
      <c r="A107" s="67">
        <v>95</v>
      </c>
      <c r="B107" s="131"/>
      <c r="C107" s="95" t="s">
        <v>476</v>
      </c>
      <c r="D107" s="148" t="s">
        <v>477</v>
      </c>
      <c r="E107" s="71" t="s">
        <v>241</v>
      </c>
      <c r="F107" s="129" t="s">
        <v>47</v>
      </c>
      <c r="G107" s="73" t="s">
        <v>530</v>
      </c>
      <c r="H107" s="74" t="s">
        <v>478</v>
      </c>
      <c r="I107" s="85" t="s">
        <v>427</v>
      </c>
      <c r="J107" s="76" t="s">
        <v>20</v>
      </c>
      <c r="K107" s="76" t="s">
        <v>117</v>
      </c>
      <c r="L107" s="77">
        <v>3027942</v>
      </c>
      <c r="M107" s="77">
        <v>654406</v>
      </c>
      <c r="N107" s="77">
        <f t="shared" si="33"/>
        <v>3682348</v>
      </c>
      <c r="O107" s="73">
        <v>0</v>
      </c>
      <c r="P107" s="77">
        <f t="shared" si="40"/>
        <v>-368234.80000000005</v>
      </c>
      <c r="Q107" s="73">
        <f t="shared" si="34"/>
        <v>3314113.2</v>
      </c>
      <c r="R107" s="103">
        <v>0.25</v>
      </c>
      <c r="S107" s="86">
        <f t="shared" si="29"/>
        <v>756985.5</v>
      </c>
      <c r="T107" s="81"/>
      <c r="U107" s="80">
        <v>0</v>
      </c>
      <c r="V107" s="80">
        <f t="shared" si="39"/>
        <v>756985.5</v>
      </c>
      <c r="W107" s="73">
        <f t="shared" si="38"/>
        <v>2557127.7000000002</v>
      </c>
      <c r="X107" s="82" t="s">
        <v>590</v>
      </c>
      <c r="Y107" s="83"/>
      <c r="Z107" s="42"/>
      <c r="AA107" s="40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2"/>
      <c r="BJ107" s="40"/>
      <c r="BK107" s="41"/>
      <c r="BL107" s="45"/>
      <c r="BM107" s="9"/>
      <c r="BN107" s="16"/>
    </row>
    <row r="108" spans="1:66" s="2" customFormat="1" ht="54" x14ac:dyDescent="0.25">
      <c r="A108" s="67">
        <v>96</v>
      </c>
      <c r="B108" s="131"/>
      <c r="C108" s="95" t="s">
        <v>479</v>
      </c>
      <c r="D108" s="148" t="s">
        <v>480</v>
      </c>
      <c r="E108" s="155" t="s">
        <v>219</v>
      </c>
      <c r="F108" s="129" t="s">
        <v>481</v>
      </c>
      <c r="G108" s="73" t="s">
        <v>527</v>
      </c>
      <c r="H108" s="74" t="s">
        <v>482</v>
      </c>
      <c r="I108" s="85" t="s">
        <v>185</v>
      </c>
      <c r="J108" s="76" t="s">
        <v>20</v>
      </c>
      <c r="K108" s="76" t="s">
        <v>528</v>
      </c>
      <c r="L108" s="77">
        <v>650000</v>
      </c>
      <c r="M108" s="77">
        <v>10465</v>
      </c>
      <c r="N108" s="77">
        <f t="shared" si="33"/>
        <v>660465</v>
      </c>
      <c r="O108" s="73">
        <v>0</v>
      </c>
      <c r="P108" s="77">
        <f t="shared" si="40"/>
        <v>-66046.5</v>
      </c>
      <c r="Q108" s="73">
        <f t="shared" si="34"/>
        <v>594418.5</v>
      </c>
      <c r="R108" s="103">
        <v>0.25</v>
      </c>
      <c r="S108" s="86">
        <f t="shared" si="29"/>
        <v>162500</v>
      </c>
      <c r="T108" s="81"/>
      <c r="U108" s="80">
        <v>0</v>
      </c>
      <c r="V108" s="80">
        <f t="shared" si="39"/>
        <v>162500</v>
      </c>
      <c r="W108" s="73">
        <f t="shared" si="38"/>
        <v>431918.5</v>
      </c>
      <c r="X108" s="82" t="s">
        <v>600</v>
      </c>
      <c r="Y108" s="83"/>
      <c r="Z108" s="42"/>
      <c r="AA108" s="40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2"/>
      <c r="BJ108" s="40"/>
      <c r="BK108" s="41"/>
      <c r="BL108" s="45"/>
      <c r="BM108" s="9"/>
      <c r="BN108" s="16"/>
    </row>
    <row r="109" spans="1:66" s="2" customFormat="1" ht="54" x14ac:dyDescent="0.25">
      <c r="A109" s="67">
        <v>97</v>
      </c>
      <c r="B109" s="131"/>
      <c r="C109" s="95" t="s">
        <v>483</v>
      </c>
      <c r="D109" s="148" t="s">
        <v>485</v>
      </c>
      <c r="E109" s="155" t="s">
        <v>484</v>
      </c>
      <c r="F109" s="129" t="s">
        <v>481</v>
      </c>
      <c r="G109" s="73" t="s">
        <v>529</v>
      </c>
      <c r="H109" s="74" t="s">
        <v>486</v>
      </c>
      <c r="I109" s="85" t="s">
        <v>185</v>
      </c>
      <c r="J109" s="76" t="s">
        <v>20</v>
      </c>
      <c r="K109" s="76" t="s">
        <v>117</v>
      </c>
      <c r="L109" s="77">
        <v>5880000</v>
      </c>
      <c r="M109" s="77">
        <v>0</v>
      </c>
      <c r="N109" s="77">
        <f t="shared" si="33"/>
        <v>5880000</v>
      </c>
      <c r="O109" s="73">
        <v>0</v>
      </c>
      <c r="P109" s="77">
        <f t="shared" si="40"/>
        <v>-588000</v>
      </c>
      <c r="Q109" s="73">
        <f t="shared" si="34"/>
        <v>5292000</v>
      </c>
      <c r="R109" s="103">
        <v>0.25</v>
      </c>
      <c r="S109" s="86">
        <f t="shared" si="29"/>
        <v>1470000</v>
      </c>
      <c r="T109" s="81"/>
      <c r="U109" s="80">
        <v>0</v>
      </c>
      <c r="V109" s="80">
        <f t="shared" si="39"/>
        <v>1470000</v>
      </c>
      <c r="W109" s="73">
        <f t="shared" si="38"/>
        <v>3822000</v>
      </c>
      <c r="X109" s="82" t="s">
        <v>584</v>
      </c>
      <c r="Y109" s="83"/>
      <c r="Z109" s="42"/>
      <c r="AA109" s="40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2"/>
      <c r="BJ109" s="40"/>
      <c r="BK109" s="41"/>
      <c r="BL109" s="45"/>
      <c r="BM109" s="9"/>
      <c r="BN109" s="16"/>
    </row>
    <row r="110" spans="1:66" s="2" customFormat="1" ht="54" x14ac:dyDescent="0.25">
      <c r="A110" s="67">
        <v>98</v>
      </c>
      <c r="B110" s="131"/>
      <c r="C110" s="95" t="s">
        <v>487</v>
      </c>
      <c r="D110" s="148" t="s">
        <v>488</v>
      </c>
      <c r="E110" s="155" t="s">
        <v>489</v>
      </c>
      <c r="F110" s="129" t="s">
        <v>490</v>
      </c>
      <c r="G110" s="73" t="s">
        <v>527</v>
      </c>
      <c r="H110" s="74" t="s">
        <v>426</v>
      </c>
      <c r="I110" s="85" t="s">
        <v>185</v>
      </c>
      <c r="J110" s="76" t="s">
        <v>20</v>
      </c>
      <c r="K110" s="76" t="s">
        <v>528</v>
      </c>
      <c r="L110" s="77">
        <v>330400</v>
      </c>
      <c r="M110" s="77">
        <v>0</v>
      </c>
      <c r="N110" s="77">
        <f t="shared" si="33"/>
        <v>330400</v>
      </c>
      <c r="O110" s="73">
        <v>0</v>
      </c>
      <c r="P110" s="77">
        <f t="shared" si="40"/>
        <v>-33040</v>
      </c>
      <c r="Q110" s="73">
        <f t="shared" si="34"/>
        <v>297360</v>
      </c>
      <c r="R110" s="103">
        <v>0.25</v>
      </c>
      <c r="S110" s="86">
        <f t="shared" si="29"/>
        <v>82600</v>
      </c>
      <c r="T110" s="81"/>
      <c r="U110" s="80">
        <v>0</v>
      </c>
      <c r="V110" s="80">
        <f t="shared" si="39"/>
        <v>82600</v>
      </c>
      <c r="W110" s="73">
        <f t="shared" si="38"/>
        <v>214760</v>
      </c>
      <c r="X110" s="87" t="s">
        <v>622</v>
      </c>
      <c r="Y110" s="83"/>
      <c r="Z110" s="42"/>
      <c r="AA110" s="40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2"/>
      <c r="BJ110" s="40"/>
      <c r="BK110" s="41"/>
      <c r="BL110" s="45"/>
      <c r="BM110" s="9"/>
      <c r="BN110" s="16"/>
    </row>
    <row r="111" spans="1:66" s="2" customFormat="1" ht="54" x14ac:dyDescent="0.25">
      <c r="A111" s="67">
        <v>99</v>
      </c>
      <c r="B111" s="131"/>
      <c r="C111" s="95" t="s">
        <v>491</v>
      </c>
      <c r="D111" s="148" t="s">
        <v>492</v>
      </c>
      <c r="E111" s="155" t="s">
        <v>219</v>
      </c>
      <c r="F111" s="129" t="s">
        <v>490</v>
      </c>
      <c r="G111" s="73" t="s">
        <v>527</v>
      </c>
      <c r="H111" s="74" t="s">
        <v>493</v>
      </c>
      <c r="I111" s="85" t="s">
        <v>185</v>
      </c>
      <c r="J111" s="76" t="s">
        <v>20</v>
      </c>
      <c r="K111" s="76" t="s">
        <v>528</v>
      </c>
      <c r="L111" s="77">
        <v>606225</v>
      </c>
      <c r="M111" s="77">
        <v>24482</v>
      </c>
      <c r="N111" s="77">
        <f t="shared" si="33"/>
        <v>630707</v>
      </c>
      <c r="O111" s="73">
        <v>0</v>
      </c>
      <c r="P111" s="77">
        <f t="shared" si="40"/>
        <v>-63070.700000000004</v>
      </c>
      <c r="Q111" s="73">
        <f t="shared" si="34"/>
        <v>567636.30000000005</v>
      </c>
      <c r="R111" s="103">
        <v>0.25</v>
      </c>
      <c r="S111" s="86">
        <f t="shared" si="29"/>
        <v>151556.25</v>
      </c>
      <c r="T111" s="81"/>
      <c r="U111" s="80">
        <v>0</v>
      </c>
      <c r="V111" s="80">
        <f t="shared" si="39"/>
        <v>151556.25</v>
      </c>
      <c r="W111" s="73">
        <f t="shared" si="38"/>
        <v>416080.05000000005</v>
      </c>
      <c r="X111" s="82" t="s">
        <v>600</v>
      </c>
      <c r="Y111" s="83"/>
      <c r="Z111" s="42"/>
      <c r="AA111" s="40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2"/>
      <c r="BJ111" s="40"/>
      <c r="BK111" s="41"/>
      <c r="BL111" s="45"/>
      <c r="BM111" s="9"/>
      <c r="BN111" s="16"/>
    </row>
    <row r="112" spans="1:66" s="2" customFormat="1" ht="54" x14ac:dyDescent="0.25">
      <c r="A112" s="67">
        <v>100</v>
      </c>
      <c r="B112" s="131"/>
      <c r="C112" s="95" t="s">
        <v>494</v>
      </c>
      <c r="D112" s="148" t="s">
        <v>132</v>
      </c>
      <c r="E112" s="155" t="s">
        <v>391</v>
      </c>
      <c r="F112" s="129" t="s">
        <v>490</v>
      </c>
      <c r="G112" s="73" t="s">
        <v>527</v>
      </c>
      <c r="H112" s="74" t="s">
        <v>453</v>
      </c>
      <c r="I112" s="85" t="s">
        <v>185</v>
      </c>
      <c r="J112" s="76" t="s">
        <v>20</v>
      </c>
      <c r="K112" s="76" t="s">
        <v>528</v>
      </c>
      <c r="L112" s="77">
        <v>4905215</v>
      </c>
      <c r="M112" s="77">
        <v>0</v>
      </c>
      <c r="N112" s="77">
        <f t="shared" si="33"/>
        <v>4905215</v>
      </c>
      <c r="O112" s="73">
        <v>0</v>
      </c>
      <c r="P112" s="77">
        <f t="shared" si="40"/>
        <v>-490521.5</v>
      </c>
      <c r="Q112" s="73">
        <f t="shared" si="34"/>
        <v>4414693.5</v>
      </c>
      <c r="R112" s="103">
        <v>0.25</v>
      </c>
      <c r="S112" s="86">
        <f t="shared" si="29"/>
        <v>1226303.75</v>
      </c>
      <c r="T112" s="81"/>
      <c r="U112" s="80">
        <v>0</v>
      </c>
      <c r="V112" s="80">
        <f t="shared" si="39"/>
        <v>1226303.75</v>
      </c>
      <c r="W112" s="73">
        <f t="shared" si="38"/>
        <v>3188389.75</v>
      </c>
      <c r="X112" s="82" t="s">
        <v>656</v>
      </c>
      <c r="Y112" s="88" t="s">
        <v>657</v>
      </c>
      <c r="Z112" s="42"/>
      <c r="AA112" s="40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2"/>
      <c r="BJ112" s="40"/>
      <c r="BK112" s="41"/>
      <c r="BL112" s="45"/>
      <c r="BM112" s="9"/>
      <c r="BN112" s="16"/>
    </row>
    <row r="113" spans="1:66" s="2" customFormat="1" ht="54" x14ac:dyDescent="0.25">
      <c r="A113" s="67">
        <v>101</v>
      </c>
      <c r="B113" s="131"/>
      <c r="C113" s="95" t="s">
        <v>495</v>
      </c>
      <c r="D113" s="148" t="s">
        <v>132</v>
      </c>
      <c r="E113" s="71" t="s">
        <v>496</v>
      </c>
      <c r="F113" s="129" t="s">
        <v>490</v>
      </c>
      <c r="G113" s="73" t="s">
        <v>526</v>
      </c>
      <c r="H113" s="74" t="s">
        <v>426</v>
      </c>
      <c r="I113" s="85" t="s">
        <v>185</v>
      </c>
      <c r="J113" s="76" t="s">
        <v>20</v>
      </c>
      <c r="K113" s="76" t="s">
        <v>117</v>
      </c>
      <c r="L113" s="77">
        <v>804117</v>
      </c>
      <c r="M113" s="77">
        <v>0</v>
      </c>
      <c r="N113" s="77">
        <f t="shared" si="33"/>
        <v>804117</v>
      </c>
      <c r="O113" s="73">
        <v>0</v>
      </c>
      <c r="P113" s="77">
        <f t="shared" si="40"/>
        <v>-80411.700000000012</v>
      </c>
      <c r="Q113" s="73">
        <f t="shared" si="34"/>
        <v>723705.3</v>
      </c>
      <c r="R113" s="103">
        <v>0.25</v>
      </c>
      <c r="S113" s="86">
        <f t="shared" si="29"/>
        <v>201029.25</v>
      </c>
      <c r="T113" s="81"/>
      <c r="U113" s="80">
        <v>0</v>
      </c>
      <c r="V113" s="80">
        <f t="shared" si="39"/>
        <v>201029.25</v>
      </c>
      <c r="W113" s="73">
        <f t="shared" si="38"/>
        <v>522676.05000000005</v>
      </c>
      <c r="X113" s="82" t="s">
        <v>609</v>
      </c>
      <c r="Y113" s="83"/>
      <c r="Z113" s="42"/>
      <c r="AA113" s="40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2"/>
      <c r="BJ113" s="40"/>
      <c r="BK113" s="41"/>
      <c r="BL113" s="45"/>
      <c r="BM113" s="9"/>
      <c r="BN113" s="16"/>
    </row>
    <row r="114" spans="1:66" s="2" customFormat="1" ht="54" x14ac:dyDescent="0.25">
      <c r="A114" s="67">
        <v>102</v>
      </c>
      <c r="B114" s="131"/>
      <c r="C114" s="95" t="s">
        <v>497</v>
      </c>
      <c r="D114" s="148" t="s">
        <v>498</v>
      </c>
      <c r="E114" s="71" t="s">
        <v>500</v>
      </c>
      <c r="F114" s="129" t="s">
        <v>499</v>
      </c>
      <c r="G114" s="73" t="s">
        <v>527</v>
      </c>
      <c r="H114" s="74" t="s">
        <v>501</v>
      </c>
      <c r="I114" s="85" t="s">
        <v>185</v>
      </c>
      <c r="J114" s="76" t="s">
        <v>20</v>
      </c>
      <c r="K114" s="76" t="s">
        <v>117</v>
      </c>
      <c r="L114" s="77">
        <v>4758058</v>
      </c>
      <c r="M114" s="77">
        <f>943023-199206</f>
        <v>743817</v>
      </c>
      <c r="N114" s="77">
        <f t="shared" si="33"/>
        <v>5501875</v>
      </c>
      <c r="O114" s="73">
        <v>0</v>
      </c>
      <c r="P114" s="77">
        <f t="shared" si="40"/>
        <v>-550187.5</v>
      </c>
      <c r="Q114" s="73">
        <f t="shared" si="34"/>
        <v>4951687.5</v>
      </c>
      <c r="R114" s="103">
        <v>0.25</v>
      </c>
      <c r="S114" s="86">
        <v>670000</v>
      </c>
      <c r="T114" s="81"/>
      <c r="U114" s="80">
        <v>0</v>
      </c>
      <c r="V114" s="80">
        <f t="shared" si="39"/>
        <v>670000</v>
      </c>
      <c r="W114" s="73">
        <f t="shared" si="38"/>
        <v>4281687.5</v>
      </c>
      <c r="X114" s="82" t="s">
        <v>605</v>
      </c>
      <c r="Y114" s="83" t="s">
        <v>608</v>
      </c>
      <c r="Z114" s="42"/>
      <c r="AA114" s="40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2"/>
      <c r="BJ114" s="40"/>
      <c r="BK114" s="41"/>
      <c r="BL114" s="45"/>
      <c r="BM114" s="9"/>
      <c r="BN114" s="16"/>
    </row>
    <row r="115" spans="1:66" s="2" customFormat="1" ht="27" x14ac:dyDescent="0.25">
      <c r="A115" s="67"/>
      <c r="B115" s="131"/>
      <c r="C115" s="95" t="s">
        <v>650</v>
      </c>
      <c r="D115" s="148" t="s">
        <v>653</v>
      </c>
      <c r="E115" s="71"/>
      <c r="F115" s="129"/>
      <c r="G115" s="73"/>
      <c r="H115" s="74"/>
      <c r="I115" s="85"/>
      <c r="J115" s="76"/>
      <c r="K115" s="76"/>
      <c r="L115" s="77"/>
      <c r="M115" s="77"/>
      <c r="N115" s="77"/>
      <c r="O115" s="73"/>
      <c r="P115" s="77"/>
      <c r="Q115" s="73"/>
      <c r="R115" s="103"/>
      <c r="S115" s="86"/>
      <c r="T115" s="81"/>
      <c r="U115" s="80"/>
      <c r="V115" s="80"/>
      <c r="W115" s="73"/>
      <c r="X115" s="82"/>
      <c r="Y115" s="83"/>
      <c r="Z115" s="42"/>
      <c r="AA115" s="40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2"/>
      <c r="BJ115" s="40"/>
      <c r="BK115" s="41"/>
      <c r="BL115" s="45"/>
      <c r="BM115" s="9"/>
      <c r="BN115" s="16"/>
    </row>
    <row r="116" spans="1:66" s="2" customFormat="1" ht="54" x14ac:dyDescent="0.25">
      <c r="A116" s="67">
        <v>103</v>
      </c>
      <c r="B116" s="131"/>
      <c r="C116" s="95" t="s">
        <v>502</v>
      </c>
      <c r="D116" s="148" t="s">
        <v>504</v>
      </c>
      <c r="E116" s="155" t="s">
        <v>503</v>
      </c>
      <c r="F116" s="129" t="s">
        <v>505</v>
      </c>
      <c r="G116" s="73" t="s">
        <v>525</v>
      </c>
      <c r="H116" s="84" t="s">
        <v>506</v>
      </c>
      <c r="I116" s="85" t="s">
        <v>185</v>
      </c>
      <c r="J116" s="76" t="s">
        <v>20</v>
      </c>
      <c r="K116" s="76" t="s">
        <v>117</v>
      </c>
      <c r="L116" s="77">
        <v>17651564</v>
      </c>
      <c r="M116" s="77">
        <v>0</v>
      </c>
      <c r="N116" s="77">
        <f t="shared" si="33"/>
        <v>17651564</v>
      </c>
      <c r="O116" s="73">
        <v>0</v>
      </c>
      <c r="P116" s="77">
        <f t="shared" si="40"/>
        <v>-1765156.4000000001</v>
      </c>
      <c r="Q116" s="73">
        <f t="shared" si="34"/>
        <v>15886407.6</v>
      </c>
      <c r="R116" s="103">
        <v>0.25</v>
      </c>
      <c r="S116" s="86">
        <f t="shared" si="29"/>
        <v>4412891</v>
      </c>
      <c r="T116" s="81"/>
      <c r="U116" s="80">
        <v>0</v>
      </c>
      <c r="V116" s="80">
        <f t="shared" si="39"/>
        <v>4412891</v>
      </c>
      <c r="W116" s="73">
        <f t="shared" si="38"/>
        <v>11473516.6</v>
      </c>
      <c r="X116" s="82" t="s">
        <v>584</v>
      </c>
      <c r="Y116" s="83"/>
      <c r="Z116" s="42"/>
      <c r="AA116" s="40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2"/>
      <c r="BJ116" s="40"/>
      <c r="BK116" s="41"/>
      <c r="BL116" s="45"/>
      <c r="BM116" s="9"/>
      <c r="BN116" s="16"/>
    </row>
    <row r="117" spans="1:66" s="2" customFormat="1" ht="54" x14ac:dyDescent="0.25">
      <c r="A117" s="67">
        <v>104</v>
      </c>
      <c r="B117" s="131"/>
      <c r="C117" s="95" t="s">
        <v>507</v>
      </c>
      <c r="D117" s="148" t="s">
        <v>508</v>
      </c>
      <c r="E117" s="155" t="s">
        <v>503</v>
      </c>
      <c r="F117" s="129" t="s">
        <v>505</v>
      </c>
      <c r="G117" s="73"/>
      <c r="H117" s="84" t="s">
        <v>509</v>
      </c>
      <c r="I117" s="85" t="s">
        <v>185</v>
      </c>
      <c r="J117" s="76" t="s">
        <v>20</v>
      </c>
      <c r="K117" s="76" t="s">
        <v>117</v>
      </c>
      <c r="L117" s="77">
        <v>1153210</v>
      </c>
      <c r="M117" s="77">
        <v>0</v>
      </c>
      <c r="N117" s="77">
        <f t="shared" si="33"/>
        <v>1153210</v>
      </c>
      <c r="O117" s="73">
        <v>0</v>
      </c>
      <c r="P117" s="77">
        <f t="shared" si="40"/>
        <v>-115321</v>
      </c>
      <c r="Q117" s="73">
        <f t="shared" si="34"/>
        <v>1037889</v>
      </c>
      <c r="R117" s="103">
        <v>0.25</v>
      </c>
      <c r="S117" s="86">
        <v>0</v>
      </c>
      <c r="T117" s="81"/>
      <c r="U117" s="80">
        <v>0</v>
      </c>
      <c r="V117" s="80">
        <f t="shared" si="39"/>
        <v>0</v>
      </c>
      <c r="W117" s="73">
        <f t="shared" si="38"/>
        <v>1037889</v>
      </c>
      <c r="X117" s="132"/>
      <c r="Y117" s="83" t="s">
        <v>523</v>
      </c>
      <c r="Z117" s="42"/>
      <c r="AA117" s="40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2"/>
      <c r="BJ117" s="40"/>
      <c r="BK117" s="41"/>
      <c r="BL117" s="45"/>
      <c r="BM117" s="9"/>
      <c r="BN117" s="16"/>
    </row>
    <row r="118" spans="1:66" s="2" customFormat="1" ht="54" x14ac:dyDescent="0.25">
      <c r="A118" s="67">
        <v>105</v>
      </c>
      <c r="B118" s="131"/>
      <c r="C118" s="95" t="s">
        <v>510</v>
      </c>
      <c r="D118" s="148" t="s">
        <v>512</v>
      </c>
      <c r="E118" s="155" t="s">
        <v>503</v>
      </c>
      <c r="F118" s="129" t="s">
        <v>511</v>
      </c>
      <c r="G118" s="73"/>
      <c r="H118" s="84" t="s">
        <v>506</v>
      </c>
      <c r="I118" s="85" t="s">
        <v>185</v>
      </c>
      <c r="J118" s="76" t="s">
        <v>20</v>
      </c>
      <c r="K118" s="76" t="s">
        <v>117</v>
      </c>
      <c r="L118" s="77">
        <v>1400789</v>
      </c>
      <c r="M118" s="77">
        <v>0</v>
      </c>
      <c r="N118" s="77">
        <f t="shared" si="33"/>
        <v>1400789</v>
      </c>
      <c r="O118" s="73">
        <v>0</v>
      </c>
      <c r="P118" s="77">
        <f t="shared" si="40"/>
        <v>-140078.9</v>
      </c>
      <c r="Q118" s="73">
        <f t="shared" si="34"/>
        <v>1260710.1000000001</v>
      </c>
      <c r="R118" s="103">
        <v>0.25</v>
      </c>
      <c r="S118" s="86">
        <v>0</v>
      </c>
      <c r="T118" s="81"/>
      <c r="U118" s="80">
        <v>0</v>
      </c>
      <c r="V118" s="80">
        <f t="shared" si="39"/>
        <v>0</v>
      </c>
      <c r="W118" s="73">
        <f t="shared" si="38"/>
        <v>1260710.1000000001</v>
      </c>
      <c r="X118" s="132"/>
      <c r="Y118" s="83" t="s">
        <v>523</v>
      </c>
      <c r="Z118" s="42"/>
      <c r="AA118" s="40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2"/>
      <c r="BJ118" s="40"/>
      <c r="BK118" s="41"/>
      <c r="BL118" s="45"/>
      <c r="BM118" s="9"/>
      <c r="BN118" s="16"/>
    </row>
    <row r="119" spans="1:66" s="2" customFormat="1" ht="54" x14ac:dyDescent="0.25">
      <c r="A119" s="67">
        <v>106</v>
      </c>
      <c r="B119" s="131"/>
      <c r="C119" s="95" t="s">
        <v>513</v>
      </c>
      <c r="D119" s="148" t="s">
        <v>514</v>
      </c>
      <c r="E119" s="155" t="s">
        <v>503</v>
      </c>
      <c r="F119" s="129" t="s">
        <v>505</v>
      </c>
      <c r="G119" s="73"/>
      <c r="H119" s="84" t="s">
        <v>515</v>
      </c>
      <c r="I119" s="85" t="s">
        <v>185</v>
      </c>
      <c r="J119" s="76" t="s">
        <v>20</v>
      </c>
      <c r="K119" s="76" t="s">
        <v>117</v>
      </c>
      <c r="L119" s="77">
        <v>2213932</v>
      </c>
      <c r="M119" s="77">
        <v>0</v>
      </c>
      <c r="N119" s="77">
        <f t="shared" si="33"/>
        <v>2213932</v>
      </c>
      <c r="O119" s="73">
        <v>0</v>
      </c>
      <c r="P119" s="77">
        <f t="shared" si="40"/>
        <v>-221393.2</v>
      </c>
      <c r="Q119" s="73">
        <f t="shared" si="34"/>
        <v>1992538.8</v>
      </c>
      <c r="R119" s="103">
        <v>0.25</v>
      </c>
      <c r="S119" s="86">
        <v>0</v>
      </c>
      <c r="T119" s="81"/>
      <c r="U119" s="80">
        <v>0</v>
      </c>
      <c r="V119" s="80">
        <f t="shared" si="39"/>
        <v>0</v>
      </c>
      <c r="W119" s="73">
        <f t="shared" si="38"/>
        <v>1992538.8</v>
      </c>
      <c r="X119" s="132"/>
      <c r="Y119" s="83" t="s">
        <v>523</v>
      </c>
      <c r="Z119" s="42"/>
      <c r="AA119" s="40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2"/>
      <c r="BJ119" s="40"/>
      <c r="BK119" s="41"/>
      <c r="BL119" s="45"/>
      <c r="BM119" s="9"/>
      <c r="BN119" s="16"/>
    </row>
    <row r="120" spans="1:66" s="2" customFormat="1" ht="54" x14ac:dyDescent="0.25">
      <c r="A120" s="67">
        <v>107</v>
      </c>
      <c r="B120" s="131"/>
      <c r="C120" s="95" t="s">
        <v>516</v>
      </c>
      <c r="D120" s="148" t="s">
        <v>517</v>
      </c>
      <c r="E120" s="155" t="s">
        <v>518</v>
      </c>
      <c r="F120" s="129" t="s">
        <v>519</v>
      </c>
      <c r="G120" s="73" t="s">
        <v>527</v>
      </c>
      <c r="H120" s="84" t="s">
        <v>453</v>
      </c>
      <c r="I120" s="85" t="s">
        <v>185</v>
      </c>
      <c r="J120" s="76" t="s">
        <v>20</v>
      </c>
      <c r="K120" s="76" t="s">
        <v>528</v>
      </c>
      <c r="L120" s="77">
        <v>3561700</v>
      </c>
      <c r="M120" s="77">
        <v>0</v>
      </c>
      <c r="N120" s="77">
        <f t="shared" si="33"/>
        <v>3561700</v>
      </c>
      <c r="O120" s="73">
        <v>0</v>
      </c>
      <c r="P120" s="77">
        <f t="shared" si="40"/>
        <v>-356170</v>
      </c>
      <c r="Q120" s="73">
        <f t="shared" si="34"/>
        <v>3205530</v>
      </c>
      <c r="R120" s="103">
        <v>0.25</v>
      </c>
      <c r="S120" s="86">
        <f t="shared" si="29"/>
        <v>890425</v>
      </c>
      <c r="T120" s="81"/>
      <c r="U120" s="80">
        <v>0</v>
      </c>
      <c r="V120" s="80">
        <f t="shared" si="39"/>
        <v>890425</v>
      </c>
      <c r="W120" s="73">
        <f t="shared" si="38"/>
        <v>2315105</v>
      </c>
      <c r="X120" s="82" t="s">
        <v>654</v>
      </c>
      <c r="Y120" s="202" t="s">
        <v>655</v>
      </c>
      <c r="Z120" s="42"/>
      <c r="AA120" s="40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2"/>
      <c r="BJ120" s="40"/>
      <c r="BK120" s="41"/>
      <c r="BL120" s="45"/>
      <c r="BM120" s="9"/>
      <c r="BN120" s="16"/>
    </row>
    <row r="121" spans="1:66" s="2" customFormat="1" ht="54.75" thickBot="1" x14ac:dyDescent="0.3">
      <c r="A121" s="133">
        <v>108</v>
      </c>
      <c r="B121" s="134"/>
      <c r="C121" s="135" t="s">
        <v>520</v>
      </c>
      <c r="D121" s="153" t="s">
        <v>521</v>
      </c>
      <c r="E121" s="159" t="s">
        <v>503</v>
      </c>
      <c r="F121" s="136" t="s">
        <v>632</v>
      </c>
      <c r="G121" s="137" t="s">
        <v>524</v>
      </c>
      <c r="H121" s="138" t="s">
        <v>522</v>
      </c>
      <c r="I121" s="139" t="s">
        <v>185</v>
      </c>
      <c r="J121" s="140" t="s">
        <v>20</v>
      </c>
      <c r="K121" s="140" t="s">
        <v>117</v>
      </c>
      <c r="L121" s="141">
        <v>4140000</v>
      </c>
      <c r="M121" s="141">
        <v>0</v>
      </c>
      <c r="N121" s="141">
        <f>M121+L121</f>
        <v>4140000</v>
      </c>
      <c r="O121" s="137">
        <v>0</v>
      </c>
      <c r="P121" s="141">
        <f t="shared" si="40"/>
        <v>-414000</v>
      </c>
      <c r="Q121" s="137">
        <f t="shared" si="31"/>
        <v>4554000</v>
      </c>
      <c r="R121" s="142">
        <v>0.25</v>
      </c>
      <c r="S121" s="143">
        <f t="shared" si="29"/>
        <v>1035000</v>
      </c>
      <c r="T121" s="144"/>
      <c r="U121" s="145">
        <v>0</v>
      </c>
      <c r="V121" s="145">
        <f t="shared" si="39"/>
        <v>1035000</v>
      </c>
      <c r="W121" s="137">
        <f t="shared" si="38"/>
        <v>3519000</v>
      </c>
      <c r="X121" s="146" t="s">
        <v>584</v>
      </c>
      <c r="Y121" s="147" t="s">
        <v>608</v>
      </c>
      <c r="Z121" s="42"/>
      <c r="AA121" s="40"/>
      <c r="AB121" s="41"/>
      <c r="AC121" s="41"/>
      <c r="AD121" s="41"/>
      <c r="AE121" s="41">
        <v>29984580000</v>
      </c>
      <c r="AF121" s="41">
        <v>112498</v>
      </c>
      <c r="AG121" s="41" t="s">
        <v>90</v>
      </c>
      <c r="AH121" s="41">
        <v>29984580000</v>
      </c>
      <c r="AI121" s="41">
        <v>112498</v>
      </c>
      <c r="AJ121" s="41" t="s">
        <v>90</v>
      </c>
      <c r="AK121" s="41"/>
      <c r="AL121" s="41"/>
      <c r="AM121" s="41"/>
      <c r="AN121" s="41"/>
      <c r="AO121" s="41"/>
      <c r="AP121" s="41"/>
      <c r="AQ121" s="41"/>
      <c r="AR121" s="41"/>
      <c r="AS121" s="41"/>
      <c r="AT121" s="41">
        <v>4997430000</v>
      </c>
      <c r="AU121" s="41">
        <v>112498</v>
      </c>
      <c r="AV121" s="41" t="s">
        <v>90</v>
      </c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2"/>
      <c r="BJ121" s="40"/>
      <c r="BK121" s="41"/>
      <c r="BL121" s="45">
        <f t="shared" si="32"/>
        <v>0</v>
      </c>
      <c r="BM121" s="9"/>
      <c r="BN121" s="16"/>
    </row>
  </sheetData>
  <autoFilter ref="A1:DG121" xr:uid="{9D30317F-B0CD-496A-9E5A-AAE5B348597D}"/>
  <printOptions horizontalCentered="1"/>
  <pageMargins left="0" right="0" top="0.75" bottom="0.75" header="0.3" footer="0.3"/>
  <pageSetup paperSize="9" scale="36" fitToHeight="0" orientation="landscape" r:id="rId1"/>
  <headerFooter>
    <oddHeader>&amp;C&amp;"B Lotus,Bold"&amp;26خلاصه قراردادهای خرید جهت بررسی تضامین دریافتی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rightToLeft="1" zoomScale="69" zoomScaleNormal="69" zoomScaleSheetLayoutView="85" workbookViewId="0">
      <selection activeCell="D1" sqref="D1"/>
    </sheetView>
  </sheetViews>
  <sheetFormatPr defaultRowHeight="15" x14ac:dyDescent="0.25"/>
  <cols>
    <col min="1" max="1" width="2.85546875" bestFit="1" customWidth="1"/>
    <col min="2" max="2" width="7.5703125" customWidth="1"/>
    <col min="3" max="3" width="16.7109375" customWidth="1"/>
    <col min="4" max="4" width="28.42578125" customWidth="1"/>
    <col min="5" max="5" width="25.42578125" customWidth="1"/>
    <col min="6" max="9" width="25.7109375" customWidth="1"/>
    <col min="11" max="11" width="7.5703125" customWidth="1"/>
    <col min="12" max="12" width="16.7109375" customWidth="1"/>
    <col min="13" max="13" width="28.42578125" customWidth="1"/>
    <col min="14" max="14" width="25.42578125" customWidth="1"/>
    <col min="15" max="18" width="25.7109375" customWidth="1"/>
  </cols>
  <sheetData>
    <row r="1" spans="1:18" ht="39.75" x14ac:dyDescent="1.1499999999999999">
      <c r="B1" s="21" t="s">
        <v>30</v>
      </c>
      <c r="C1" s="22"/>
      <c r="D1" s="22"/>
      <c r="E1" s="22"/>
      <c r="K1" s="21" t="s">
        <v>30</v>
      </c>
      <c r="L1" s="22"/>
      <c r="M1" s="22"/>
      <c r="N1" s="22"/>
    </row>
    <row r="2" spans="1:18" ht="39.75" x14ac:dyDescent="1.1499999999999999">
      <c r="B2" s="21" t="s">
        <v>29</v>
      </c>
      <c r="C2" s="22"/>
      <c r="D2" s="22"/>
      <c r="E2" s="22"/>
      <c r="K2" s="21" t="s">
        <v>29</v>
      </c>
      <c r="L2" s="22"/>
      <c r="M2" s="22"/>
      <c r="N2" s="22"/>
    </row>
    <row r="3" spans="1:18" ht="39.75" x14ac:dyDescent="1.1499999999999999">
      <c r="B3" s="21" t="s">
        <v>65</v>
      </c>
      <c r="C3" s="22"/>
      <c r="D3" s="22"/>
      <c r="E3" s="22"/>
      <c r="K3" s="21" t="s">
        <v>66</v>
      </c>
      <c r="L3" s="22"/>
      <c r="M3" s="22"/>
      <c r="N3" s="22"/>
    </row>
    <row r="4" spans="1:18" ht="64.5" customHeight="1" x14ac:dyDescent="0.25">
      <c r="A4" s="23"/>
      <c r="B4" s="10" t="s">
        <v>23</v>
      </c>
      <c r="C4" s="10" t="s">
        <v>50</v>
      </c>
      <c r="D4" s="10" t="s">
        <v>67</v>
      </c>
      <c r="E4" s="10" t="s">
        <v>51</v>
      </c>
      <c r="F4" s="10" t="s">
        <v>61</v>
      </c>
      <c r="G4" s="10" t="s">
        <v>51</v>
      </c>
      <c r="H4" s="10" t="s">
        <v>62</v>
      </c>
      <c r="I4" s="10" t="s">
        <v>51</v>
      </c>
      <c r="K4" s="10" t="s">
        <v>23</v>
      </c>
      <c r="L4" s="10" t="s">
        <v>50</v>
      </c>
      <c r="M4" s="10" t="s">
        <v>67</v>
      </c>
      <c r="N4" s="10" t="s">
        <v>51</v>
      </c>
      <c r="O4" s="10" t="s">
        <v>61</v>
      </c>
      <c r="P4" s="10" t="s">
        <v>51</v>
      </c>
      <c r="Q4" s="10" t="s">
        <v>62</v>
      </c>
      <c r="R4" s="10" t="s">
        <v>51</v>
      </c>
    </row>
    <row r="5" spans="1:18" s="27" customFormat="1" ht="33.75" x14ac:dyDescent="0.25">
      <c r="A5" s="26"/>
      <c r="B5" s="28">
        <v>1</v>
      </c>
      <c r="C5" s="30">
        <v>76071</v>
      </c>
      <c r="D5" s="29">
        <v>75894000000</v>
      </c>
      <c r="E5" s="30" t="s">
        <v>52</v>
      </c>
      <c r="F5" s="29">
        <v>87860044265</v>
      </c>
      <c r="G5" s="30" t="s">
        <v>47</v>
      </c>
      <c r="H5" s="29">
        <v>97622271405</v>
      </c>
      <c r="I5" s="30" t="s">
        <v>47</v>
      </c>
      <c r="K5" s="28">
        <v>1</v>
      </c>
      <c r="L5" s="30">
        <v>925139</v>
      </c>
      <c r="M5" s="29">
        <v>520000000000</v>
      </c>
      <c r="N5" s="30" t="s">
        <v>68</v>
      </c>
      <c r="O5" s="29"/>
      <c r="P5" s="30"/>
      <c r="Q5" s="29"/>
      <c r="R5" s="30"/>
    </row>
    <row r="6" spans="1:18" s="27" customFormat="1" ht="33.75" x14ac:dyDescent="0.25">
      <c r="A6" s="26"/>
      <c r="B6" s="28">
        <v>2</v>
      </c>
      <c r="C6" s="30">
        <v>553533</v>
      </c>
      <c r="D6" s="29">
        <v>39623212453</v>
      </c>
      <c r="E6" s="30" t="s">
        <v>53</v>
      </c>
      <c r="F6" s="29">
        <v>26519589018</v>
      </c>
      <c r="G6" s="30" t="s">
        <v>48</v>
      </c>
      <c r="H6" s="29"/>
      <c r="I6" s="30"/>
      <c r="K6" s="28">
        <v>2</v>
      </c>
      <c r="L6" s="30">
        <v>355941</v>
      </c>
      <c r="M6" s="29">
        <v>67680143771</v>
      </c>
      <c r="N6" s="30" t="s">
        <v>69</v>
      </c>
      <c r="O6" s="29"/>
      <c r="P6" s="30"/>
      <c r="Q6" s="29"/>
      <c r="R6" s="30"/>
    </row>
    <row r="7" spans="1:18" s="27" customFormat="1" ht="33.75" x14ac:dyDescent="0.25">
      <c r="A7" s="26"/>
      <c r="B7" s="28">
        <v>3</v>
      </c>
      <c r="C7" s="30">
        <v>28084</v>
      </c>
      <c r="D7" s="29">
        <v>11551993140</v>
      </c>
      <c r="E7" s="30" t="s">
        <v>54</v>
      </c>
      <c r="F7" s="29">
        <v>60000000000</v>
      </c>
      <c r="G7" s="30" t="s">
        <v>49</v>
      </c>
      <c r="H7" s="29"/>
      <c r="I7" s="30"/>
      <c r="K7" s="28">
        <v>3</v>
      </c>
      <c r="L7" s="30">
        <v>355942</v>
      </c>
      <c r="M7" s="29">
        <v>90240191694</v>
      </c>
      <c r="N7" s="30" t="s">
        <v>69</v>
      </c>
      <c r="O7" s="29"/>
      <c r="P7" s="30"/>
      <c r="Q7" s="29"/>
      <c r="R7" s="30"/>
    </row>
    <row r="8" spans="1:18" s="27" customFormat="1" ht="33.75" x14ac:dyDescent="0.25">
      <c r="A8" s="26"/>
      <c r="B8" s="28">
        <v>4</v>
      </c>
      <c r="C8" s="30">
        <v>28085</v>
      </c>
      <c r="D8" s="29">
        <v>3465597942</v>
      </c>
      <c r="E8" s="30" t="s">
        <v>54</v>
      </c>
      <c r="F8" s="29"/>
      <c r="G8" s="30"/>
      <c r="H8" s="29"/>
      <c r="I8" s="30"/>
      <c r="K8" s="28">
        <v>4</v>
      </c>
      <c r="L8" s="30">
        <v>284235</v>
      </c>
      <c r="M8" s="29">
        <v>21603639971</v>
      </c>
      <c r="N8" s="30" t="s">
        <v>25</v>
      </c>
      <c r="O8" s="29"/>
      <c r="P8" s="30"/>
      <c r="Q8" s="29"/>
      <c r="R8" s="30"/>
    </row>
    <row r="9" spans="1:18" s="27" customFormat="1" ht="33.75" x14ac:dyDescent="0.25">
      <c r="A9" s="26"/>
      <c r="B9" s="28">
        <v>5</v>
      </c>
      <c r="C9" s="30">
        <v>28086</v>
      </c>
      <c r="D9" s="29">
        <v>14994557450</v>
      </c>
      <c r="E9" s="30" t="s">
        <v>54</v>
      </c>
      <c r="F9" s="29"/>
      <c r="G9" s="30"/>
      <c r="H9" s="29"/>
      <c r="I9" s="30"/>
      <c r="K9" s="28">
        <v>5</v>
      </c>
      <c r="L9" s="30">
        <v>284295</v>
      </c>
      <c r="M9" s="29">
        <v>20031965472</v>
      </c>
      <c r="N9" s="30" t="s">
        <v>33</v>
      </c>
      <c r="O9" s="29"/>
      <c r="P9" s="30"/>
      <c r="Q9" s="29"/>
      <c r="R9" s="30"/>
    </row>
    <row r="10" spans="1:18" s="27" customFormat="1" ht="33.75" x14ac:dyDescent="0.25">
      <c r="A10" s="26"/>
      <c r="B10" s="28">
        <v>6</v>
      </c>
      <c r="C10" s="30">
        <v>28087</v>
      </c>
      <c r="D10" s="29">
        <v>49981858165</v>
      </c>
      <c r="E10" s="30" t="s">
        <v>54</v>
      </c>
      <c r="F10" s="29"/>
      <c r="G10" s="30"/>
      <c r="H10" s="29"/>
      <c r="I10" s="30"/>
      <c r="K10" s="28">
        <v>6</v>
      </c>
      <c r="L10" s="30">
        <v>284294</v>
      </c>
      <c r="M10" s="29">
        <v>36387983450</v>
      </c>
      <c r="N10" s="30" t="s">
        <v>33</v>
      </c>
      <c r="O10" s="29"/>
      <c r="P10" s="30"/>
      <c r="Q10" s="29"/>
      <c r="R10" s="30"/>
    </row>
    <row r="11" spans="1:18" s="27" customFormat="1" ht="33.75" x14ac:dyDescent="0.25">
      <c r="A11" s="26"/>
      <c r="B11" s="28">
        <v>7</v>
      </c>
      <c r="C11" s="30">
        <v>55637</v>
      </c>
      <c r="D11" s="29">
        <v>193195942961</v>
      </c>
      <c r="E11" s="30" t="s">
        <v>55</v>
      </c>
      <c r="F11" s="29"/>
      <c r="G11" s="30"/>
      <c r="H11" s="29"/>
      <c r="I11" s="30"/>
      <c r="K11" s="28">
        <v>7</v>
      </c>
      <c r="L11" s="30">
        <v>284296</v>
      </c>
      <c r="M11" s="29">
        <v>21158314580</v>
      </c>
      <c r="N11" s="30" t="s">
        <v>33</v>
      </c>
      <c r="O11" s="29"/>
      <c r="P11" s="30"/>
      <c r="Q11" s="29"/>
      <c r="R11" s="30"/>
    </row>
    <row r="12" spans="1:18" s="27" customFormat="1" ht="33.75" x14ac:dyDescent="0.25">
      <c r="A12" s="26"/>
      <c r="B12" s="28">
        <v>8</v>
      </c>
      <c r="C12" s="30">
        <v>55638</v>
      </c>
      <c r="D12" s="29">
        <v>57958782889</v>
      </c>
      <c r="E12" s="30" t="s">
        <v>55</v>
      </c>
      <c r="F12" s="29"/>
      <c r="G12" s="30"/>
      <c r="H12" s="29"/>
      <c r="I12" s="30"/>
      <c r="K12" s="28">
        <v>8</v>
      </c>
      <c r="L12" s="30"/>
      <c r="M12" s="29"/>
      <c r="N12" s="30"/>
      <c r="O12" s="29"/>
      <c r="P12" s="30"/>
      <c r="Q12" s="29"/>
      <c r="R12" s="30"/>
    </row>
    <row r="13" spans="1:18" s="27" customFormat="1" ht="33.75" x14ac:dyDescent="0.25">
      <c r="A13" s="26"/>
      <c r="B13" s="28">
        <v>9</v>
      </c>
      <c r="C13" s="30">
        <v>55657</v>
      </c>
      <c r="D13" s="29">
        <v>35050017235</v>
      </c>
      <c r="E13" s="30" t="s">
        <v>56</v>
      </c>
      <c r="F13" s="29"/>
      <c r="G13" s="30"/>
      <c r="H13" s="29"/>
      <c r="I13" s="30"/>
      <c r="K13" s="28">
        <v>9</v>
      </c>
      <c r="L13" s="30"/>
      <c r="M13" s="29"/>
      <c r="N13" s="30"/>
      <c r="O13" s="29"/>
      <c r="P13" s="30"/>
      <c r="Q13" s="29"/>
      <c r="R13" s="30"/>
    </row>
    <row r="14" spans="1:18" s="27" customFormat="1" ht="33.75" x14ac:dyDescent="0.25">
      <c r="A14" s="26"/>
      <c r="B14" s="28">
        <v>10</v>
      </c>
      <c r="C14" s="30">
        <v>55656</v>
      </c>
      <c r="D14" s="29">
        <v>10515005171</v>
      </c>
      <c r="E14" s="30" t="s">
        <v>56</v>
      </c>
      <c r="F14" s="29"/>
      <c r="G14" s="30"/>
      <c r="H14" s="29"/>
      <c r="I14" s="30"/>
      <c r="K14" s="28">
        <v>10</v>
      </c>
      <c r="L14" s="30"/>
      <c r="M14" s="29"/>
      <c r="N14" s="30"/>
      <c r="O14" s="29"/>
      <c r="P14" s="30"/>
      <c r="Q14" s="29"/>
      <c r="R14" s="30"/>
    </row>
    <row r="15" spans="1:18" s="27" customFormat="1" ht="33.75" x14ac:dyDescent="0.25">
      <c r="A15" s="26"/>
      <c r="B15" s="28">
        <v>11</v>
      </c>
      <c r="C15" s="30">
        <v>55667</v>
      </c>
      <c r="D15" s="29">
        <v>75796496423</v>
      </c>
      <c r="E15" s="30" t="s">
        <v>57</v>
      </c>
      <c r="F15" s="29"/>
      <c r="G15" s="30"/>
      <c r="H15" s="29"/>
      <c r="I15" s="30"/>
      <c r="K15" s="28">
        <v>11</v>
      </c>
      <c r="L15" s="30"/>
      <c r="M15" s="29"/>
      <c r="N15" s="30"/>
      <c r="O15" s="29"/>
      <c r="P15" s="30"/>
      <c r="Q15" s="29"/>
      <c r="R15" s="30"/>
    </row>
    <row r="16" spans="1:18" s="27" customFormat="1" ht="33.75" x14ac:dyDescent="0.25">
      <c r="A16" s="26"/>
      <c r="B16" s="28">
        <v>12</v>
      </c>
      <c r="C16" s="30">
        <v>55666</v>
      </c>
      <c r="D16" s="29">
        <v>22738948927</v>
      </c>
      <c r="E16" s="30" t="s">
        <v>57</v>
      </c>
      <c r="F16" s="29"/>
      <c r="G16" s="30"/>
      <c r="H16" s="29"/>
      <c r="I16" s="30"/>
      <c r="K16" s="28">
        <v>12</v>
      </c>
      <c r="L16" s="30"/>
      <c r="M16" s="29"/>
      <c r="N16" s="30"/>
      <c r="O16" s="29"/>
      <c r="P16" s="30"/>
      <c r="Q16" s="29"/>
      <c r="R16" s="30"/>
    </row>
    <row r="17" spans="1:18" s="27" customFormat="1" ht="33.75" x14ac:dyDescent="0.25">
      <c r="A17" s="26"/>
      <c r="B17" s="28">
        <v>13</v>
      </c>
      <c r="C17" s="30">
        <v>978604</v>
      </c>
      <c r="D17" s="29">
        <v>26948403590</v>
      </c>
      <c r="E17" s="30" t="s">
        <v>58</v>
      </c>
      <c r="F17" s="29"/>
      <c r="G17" s="30"/>
      <c r="H17" s="29"/>
      <c r="I17" s="30"/>
      <c r="K17" s="28">
        <v>13</v>
      </c>
      <c r="L17" s="30"/>
      <c r="M17" s="29"/>
      <c r="N17" s="30"/>
      <c r="O17" s="29"/>
      <c r="P17" s="30"/>
      <c r="Q17" s="29"/>
      <c r="R17" s="30"/>
    </row>
    <row r="18" spans="1:18" s="27" customFormat="1" ht="33.75" x14ac:dyDescent="0.25">
      <c r="A18" s="26"/>
      <c r="B18" s="28">
        <v>14</v>
      </c>
      <c r="C18" s="30">
        <v>978603</v>
      </c>
      <c r="D18" s="29">
        <v>8084521077</v>
      </c>
      <c r="E18" s="30" t="s">
        <v>58</v>
      </c>
      <c r="F18" s="29"/>
      <c r="G18" s="30"/>
      <c r="H18" s="29"/>
      <c r="I18" s="30"/>
      <c r="K18" s="28">
        <v>14</v>
      </c>
      <c r="L18" s="30"/>
      <c r="M18" s="29"/>
      <c r="N18" s="30"/>
      <c r="O18" s="29"/>
      <c r="P18" s="30"/>
      <c r="Q18" s="29"/>
      <c r="R18" s="30"/>
    </row>
    <row r="19" spans="1:18" s="27" customFormat="1" ht="33.75" x14ac:dyDescent="0.25">
      <c r="A19" s="26"/>
      <c r="B19" s="28">
        <v>15</v>
      </c>
      <c r="C19" s="30">
        <v>978601</v>
      </c>
      <c r="D19" s="29">
        <v>18386842215</v>
      </c>
      <c r="E19" s="30" t="s">
        <v>58</v>
      </c>
      <c r="F19" s="29"/>
      <c r="G19" s="30"/>
      <c r="H19" s="29"/>
      <c r="I19" s="30"/>
      <c r="K19" s="28">
        <v>15</v>
      </c>
      <c r="L19" s="30"/>
      <c r="M19" s="29"/>
      <c r="N19" s="30"/>
      <c r="O19" s="29"/>
      <c r="P19" s="30"/>
      <c r="Q19" s="29"/>
      <c r="R19" s="30"/>
    </row>
    <row r="20" spans="1:18" s="27" customFormat="1" ht="33.75" x14ac:dyDescent="0.25">
      <c r="A20" s="26"/>
      <c r="B20" s="28">
        <v>16</v>
      </c>
      <c r="C20" s="30">
        <v>978602</v>
      </c>
      <c r="D20" s="29">
        <v>61289474049</v>
      </c>
      <c r="E20" s="30" t="s">
        <v>58</v>
      </c>
      <c r="F20" s="29"/>
      <c r="G20" s="30"/>
      <c r="H20" s="29"/>
      <c r="I20" s="30"/>
      <c r="K20" s="28">
        <v>16</v>
      </c>
      <c r="L20" s="30"/>
      <c r="M20" s="29"/>
      <c r="N20" s="30"/>
      <c r="O20" s="29"/>
      <c r="P20" s="30"/>
      <c r="Q20" s="29"/>
      <c r="R20" s="30"/>
    </row>
    <row r="21" spans="1:18" s="27" customFormat="1" ht="33.75" x14ac:dyDescent="0.25">
      <c r="A21" s="26"/>
      <c r="B21" s="28">
        <v>17</v>
      </c>
      <c r="C21" s="30">
        <v>55683</v>
      </c>
      <c r="D21" s="29">
        <v>115103168107</v>
      </c>
      <c r="E21" s="30" t="s">
        <v>59</v>
      </c>
      <c r="F21" s="29"/>
      <c r="G21" s="30"/>
      <c r="H21" s="29"/>
      <c r="I21" s="30"/>
      <c r="K21" s="28">
        <v>17</v>
      </c>
      <c r="L21" s="30"/>
      <c r="M21" s="29"/>
      <c r="N21" s="30"/>
      <c r="O21" s="29"/>
      <c r="P21" s="30"/>
      <c r="Q21" s="29"/>
      <c r="R21" s="30"/>
    </row>
    <row r="22" spans="1:18" s="27" customFormat="1" ht="33.75" x14ac:dyDescent="0.25">
      <c r="A22" s="26"/>
      <c r="B22" s="28">
        <v>18</v>
      </c>
      <c r="C22" s="30">
        <v>55684</v>
      </c>
      <c r="D22" s="29">
        <v>34530950432</v>
      </c>
      <c r="E22" s="30" t="s">
        <v>59</v>
      </c>
      <c r="F22" s="29"/>
      <c r="G22" s="30"/>
      <c r="H22" s="29"/>
      <c r="I22" s="30"/>
      <c r="K22" s="28">
        <v>18</v>
      </c>
      <c r="L22" s="30"/>
      <c r="M22" s="29"/>
      <c r="N22" s="30"/>
      <c r="O22" s="29"/>
      <c r="P22" s="30"/>
      <c r="Q22" s="29"/>
      <c r="R22" s="30"/>
    </row>
    <row r="23" spans="1:18" s="27" customFormat="1" ht="33.75" x14ac:dyDescent="0.25">
      <c r="A23" s="26"/>
      <c r="B23" s="28">
        <v>19</v>
      </c>
      <c r="C23" s="30">
        <v>978608</v>
      </c>
      <c r="D23" s="29">
        <v>61792376000</v>
      </c>
      <c r="E23" s="30" t="s">
        <v>60</v>
      </c>
      <c r="F23" s="29"/>
      <c r="G23" s="30"/>
      <c r="H23" s="29"/>
      <c r="I23" s="30"/>
      <c r="K23" s="28">
        <v>19</v>
      </c>
      <c r="L23" s="30"/>
      <c r="M23" s="29"/>
      <c r="N23" s="30"/>
      <c r="O23" s="29"/>
      <c r="P23" s="30"/>
      <c r="Q23" s="29"/>
      <c r="R23" s="30"/>
    </row>
    <row r="24" spans="1:18" s="14" customFormat="1" ht="40.5" thickBot="1" x14ac:dyDescent="0.3">
      <c r="A24" s="13"/>
      <c r="B24" s="31"/>
      <c r="C24" s="31"/>
      <c r="D24" s="33">
        <v>916902148226</v>
      </c>
      <c r="E24" s="11"/>
      <c r="F24" s="33">
        <f>SUM(F5:F23)</f>
        <v>174379633283</v>
      </c>
      <c r="G24" s="32"/>
      <c r="H24" s="33">
        <f>SUM(H5:H23)</f>
        <v>97622271405</v>
      </c>
      <c r="I24" s="32"/>
      <c r="K24" s="31"/>
      <c r="L24" s="31"/>
      <c r="M24" s="33">
        <f>SUM(M5:M23)</f>
        <v>777102238938</v>
      </c>
      <c r="N24" s="11"/>
      <c r="O24" s="33">
        <f>SUM(O5:O23)</f>
        <v>0</v>
      </c>
      <c r="P24" s="32"/>
      <c r="Q24" s="33">
        <f>SUM(Q5:Q23)</f>
        <v>0</v>
      </c>
      <c r="R24" s="32"/>
    </row>
    <row r="25" spans="1:18" s="3" customFormat="1" ht="45" customHeight="1" thickTop="1" x14ac:dyDescent="0.3"/>
    <row r="26" spans="1:18" s="3" customFormat="1" ht="35.25" customHeight="1" x14ac:dyDescent="0.35">
      <c r="C26" s="5"/>
      <c r="D26" s="5"/>
      <c r="E26" s="4"/>
      <c r="L26" s="5"/>
      <c r="M26" s="5"/>
      <c r="N26" s="4"/>
    </row>
    <row r="27" spans="1:18" ht="51" customHeight="1" x14ac:dyDescent="0.25">
      <c r="E27" s="25"/>
      <c r="N27" s="25"/>
    </row>
    <row r="28" spans="1:18" ht="24.95" customHeight="1" x14ac:dyDescent="0.25">
      <c r="E28" s="24"/>
      <c r="N28" s="24"/>
    </row>
    <row r="29" spans="1:18" ht="24.95" customHeight="1" x14ac:dyDescent="0.25">
      <c r="E29" s="24"/>
      <c r="N29" s="24"/>
    </row>
    <row r="30" spans="1:18" ht="24.95" customHeight="1" x14ac:dyDescent="0.25">
      <c r="E30" s="24"/>
      <c r="N30" s="24"/>
    </row>
    <row r="31" spans="1:18" ht="9.9499999999999993" customHeight="1" x14ac:dyDescent="0.25">
      <c r="E31" s="24"/>
      <c r="N31" s="24"/>
    </row>
    <row r="32" spans="1:18" ht="24.95" customHeight="1" x14ac:dyDescent="0.25">
      <c r="E32" s="25"/>
      <c r="N32" s="25"/>
    </row>
    <row r="33" spans="5:14" ht="24.95" customHeight="1" x14ac:dyDescent="0.25"/>
    <row r="34" spans="5:14" ht="24.95" customHeight="1" x14ac:dyDescent="0.25">
      <c r="E34" s="25"/>
      <c r="N34" s="25"/>
    </row>
  </sheetData>
  <printOptions horizontalCentered="1"/>
  <pageMargins left="0.25" right="0.25" top="0.75" bottom="0.75" header="0.3" footer="0.3"/>
  <pageSetup paperSize="9" scale="10" orientation="landscape" r:id="rId1"/>
  <headerFooter>
    <oddHeader>&amp;C&amp;"B Lotus,Bold"&amp;20برآورد تقریبی مخارج پروژه ها تا پایان خردادماه 1400 به تفکیک قراردادها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قراردادها</vt:lpstr>
      <vt:lpstr>ضمانتنامه ها</vt:lpstr>
      <vt:lpstr>قراردادها!OLE_LINK1</vt:lpstr>
      <vt:lpstr>قراردادها!Print_Area</vt:lpstr>
      <vt:lpstr>'ضمانتنامه ها'!Print_Titles</vt:lpstr>
      <vt:lpstr>قراردادها!Print_Titles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مسعود حسینی</dc:creator>
  <cp:lastModifiedBy>Imaghian AmirAbbas</cp:lastModifiedBy>
  <cp:lastPrinted>2023-01-01T10:25:21Z</cp:lastPrinted>
  <dcterms:created xsi:type="dcterms:W3CDTF">2021-10-19T11:04:46Z</dcterms:created>
  <dcterms:modified xsi:type="dcterms:W3CDTF">2023-03-09T14:35:40Z</dcterms:modified>
</cp:coreProperties>
</file>